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510" windowWidth="22755" windowHeight="11415"/>
  </bookViews>
  <sheets>
    <sheet name="Registar" sheetId="3" r:id="rId1"/>
    <sheet name="Metadata" sheetId="4" r:id="rId2"/>
  </sheets>
  <definedNames>
    <definedName name="_xlnm._FilterDatabase" localSheetId="0" hidden="1">Registar!$A$5:$K$2629</definedName>
    <definedName name="_xlnm.Print_Area" localSheetId="0">Registar!$A$1:$K$2629</definedName>
    <definedName name="_xlnm.Print_Titles" localSheetId="0">Registar!$4:$5</definedName>
  </definedNames>
  <calcPr calcId="145621"/>
</workbook>
</file>

<file path=xl/calcChain.xml><?xml version="1.0" encoding="utf-8"?>
<calcChain xmlns="http://schemas.openxmlformats.org/spreadsheetml/2006/main">
  <c r="J562" i="3" l="1"/>
  <c r="J1412" i="3" l="1"/>
  <c r="J1410" i="3"/>
  <c r="G629" i="3" l="1"/>
  <c r="G628" i="3"/>
  <c r="G627" i="3"/>
  <c r="G626" i="3"/>
  <c r="G625" i="3"/>
  <c r="G624" i="3"/>
  <c r="G623" i="3"/>
  <c r="G622" i="3"/>
  <c r="G621" i="3"/>
  <c r="G620" i="3"/>
  <c r="G619" i="3"/>
  <c r="G618" i="3"/>
  <c r="G617" i="3"/>
  <c r="G616" i="3"/>
  <c r="G615" i="3"/>
  <c r="G614" i="3"/>
  <c r="G613" i="3"/>
  <c r="G612" i="3"/>
  <c r="G611" i="3"/>
  <c r="G610" i="3"/>
  <c r="G609" i="3"/>
  <c r="G608" i="3"/>
  <c r="G607" i="3"/>
  <c r="G606" i="3"/>
  <c r="G605" i="3"/>
  <c r="G604" i="3"/>
  <c r="G603" i="3"/>
  <c r="G602" i="3"/>
  <c r="G601" i="3"/>
  <c r="G600" i="3"/>
  <c r="G599" i="3"/>
  <c r="G598" i="3"/>
  <c r="G597" i="3"/>
  <c r="G595" i="3"/>
  <c r="G594" i="3"/>
  <c r="G593" i="3"/>
  <c r="G592" i="3"/>
  <c r="G591" i="3"/>
  <c r="G590" i="3"/>
  <c r="G596" i="3"/>
  <c r="H2629" i="3"/>
  <c r="G2629" i="3"/>
  <c r="F2629" i="3"/>
  <c r="D2629" i="3"/>
  <c r="A2629" i="3"/>
  <c r="H2628" i="3"/>
  <c r="G2628" i="3"/>
  <c r="F2628" i="3"/>
  <c r="D2628" i="3"/>
  <c r="A2628" i="3"/>
  <c r="H2627" i="3"/>
  <c r="G2627" i="3"/>
  <c r="F2627" i="3"/>
  <c r="D2627" i="3"/>
  <c r="A2627" i="3"/>
  <c r="H2626" i="3"/>
  <c r="G2626" i="3"/>
  <c r="F2626" i="3"/>
  <c r="D2626" i="3"/>
  <c r="A2626" i="3"/>
  <c r="H2625" i="3"/>
  <c r="G2625" i="3"/>
  <c r="F2625" i="3"/>
  <c r="D2625" i="3"/>
  <c r="A2625" i="3"/>
  <c r="H2624" i="3"/>
  <c r="G2624" i="3"/>
  <c r="F2624" i="3"/>
  <c r="D2624" i="3"/>
  <c r="A2624" i="3"/>
  <c r="H2623" i="3"/>
  <c r="G2623" i="3"/>
  <c r="F2623" i="3"/>
  <c r="D2623" i="3"/>
  <c r="A2623" i="3"/>
  <c r="H2622" i="3"/>
  <c r="G2622" i="3"/>
  <c r="F2622" i="3"/>
  <c r="D2622" i="3"/>
  <c r="A2622" i="3"/>
  <c r="H2621" i="3"/>
  <c r="G2621" i="3"/>
  <c r="F2621" i="3"/>
  <c r="D2621" i="3"/>
  <c r="A2621" i="3"/>
  <c r="H2620" i="3"/>
  <c r="G2620" i="3"/>
  <c r="F2620" i="3"/>
  <c r="D2620" i="3"/>
  <c r="A2620" i="3"/>
  <c r="H2619" i="3"/>
  <c r="G2619" i="3"/>
  <c r="F2619" i="3"/>
  <c r="D2619" i="3"/>
  <c r="A2619" i="3"/>
  <c r="H2618" i="3"/>
  <c r="G2618" i="3"/>
  <c r="F2618" i="3"/>
  <c r="D2618" i="3"/>
  <c r="A2618" i="3"/>
  <c r="H2617" i="3"/>
  <c r="G2617" i="3"/>
  <c r="F2617" i="3"/>
  <c r="D2617" i="3"/>
  <c r="A2617" i="3"/>
  <c r="H2616" i="3"/>
  <c r="G2616" i="3"/>
  <c r="F2616" i="3"/>
  <c r="D2616" i="3"/>
  <c r="A2616" i="3"/>
  <c r="H2615" i="3"/>
  <c r="G2615" i="3"/>
  <c r="F2615" i="3"/>
  <c r="D2615" i="3"/>
  <c r="A2615" i="3"/>
  <c r="H2614" i="3"/>
  <c r="G2614" i="3"/>
  <c r="F2614" i="3"/>
  <c r="D2614" i="3"/>
  <c r="A2614" i="3"/>
  <c r="H2613" i="3"/>
  <c r="G2613" i="3"/>
  <c r="F2613" i="3"/>
  <c r="D2613" i="3"/>
  <c r="A2613" i="3"/>
  <c r="H2612" i="3"/>
  <c r="G2612" i="3"/>
  <c r="F2612" i="3"/>
  <c r="D2612" i="3"/>
  <c r="A2612" i="3"/>
  <c r="H2611" i="3"/>
  <c r="G2611" i="3"/>
  <c r="F2611" i="3"/>
  <c r="D2611" i="3"/>
  <c r="A2611" i="3"/>
  <c r="H2610" i="3"/>
  <c r="G2610" i="3"/>
  <c r="F2610" i="3"/>
  <c r="D2610" i="3"/>
  <c r="A2610" i="3"/>
  <c r="H2609" i="3"/>
  <c r="G2609" i="3"/>
  <c r="F2609" i="3"/>
  <c r="D2609" i="3"/>
  <c r="A2609" i="3"/>
  <c r="H2608" i="3"/>
  <c r="G2608" i="3"/>
  <c r="F2608" i="3"/>
  <c r="D2608" i="3"/>
  <c r="A2608" i="3"/>
  <c r="H2607" i="3"/>
  <c r="G2607" i="3"/>
  <c r="F2607" i="3"/>
  <c r="D2607" i="3"/>
  <c r="A2607" i="3"/>
  <c r="H2606" i="3"/>
  <c r="G2606" i="3"/>
  <c r="F2606" i="3"/>
  <c r="D2606" i="3"/>
  <c r="A2606" i="3"/>
  <c r="H2605" i="3"/>
  <c r="G2605" i="3"/>
  <c r="F2605" i="3"/>
  <c r="D2605" i="3"/>
  <c r="A2605" i="3"/>
  <c r="H2604" i="3"/>
  <c r="G2604" i="3"/>
  <c r="F2604" i="3"/>
  <c r="D2604" i="3"/>
  <c r="A2604" i="3"/>
  <c r="H2603" i="3"/>
  <c r="G2603" i="3"/>
  <c r="F2603" i="3"/>
  <c r="D2603" i="3"/>
  <c r="A2603" i="3"/>
  <c r="H2602" i="3"/>
  <c r="G2602" i="3"/>
  <c r="F2602" i="3"/>
  <c r="D2602" i="3"/>
  <c r="A2602" i="3"/>
  <c r="H2601" i="3"/>
  <c r="G2601" i="3"/>
  <c r="F2601" i="3"/>
  <c r="D2601" i="3"/>
  <c r="A2601" i="3"/>
  <c r="H2600" i="3"/>
  <c r="G2600" i="3"/>
  <c r="F2600" i="3"/>
  <c r="D2600" i="3"/>
  <c r="A2600" i="3"/>
  <c r="H2599" i="3"/>
  <c r="G2599" i="3"/>
  <c r="F2599" i="3"/>
  <c r="D2599" i="3"/>
  <c r="A2599" i="3"/>
  <c r="H2598" i="3"/>
  <c r="G2598" i="3"/>
  <c r="F2598" i="3"/>
  <c r="D2598" i="3"/>
  <c r="A2598" i="3"/>
  <c r="H2597" i="3"/>
  <c r="G2597" i="3"/>
  <c r="F2597" i="3"/>
  <c r="D2597" i="3"/>
  <c r="A2597" i="3"/>
  <c r="H2596" i="3"/>
  <c r="G2596" i="3"/>
  <c r="F2596" i="3"/>
  <c r="D2596" i="3"/>
  <c r="A2596" i="3"/>
  <c r="H2595" i="3"/>
  <c r="G2595" i="3"/>
  <c r="F2595" i="3"/>
  <c r="D2595" i="3"/>
  <c r="A2595" i="3"/>
  <c r="H2594" i="3"/>
  <c r="G2594" i="3"/>
  <c r="F2594" i="3"/>
  <c r="D2594" i="3"/>
  <c r="A2594" i="3"/>
  <c r="H2593" i="3"/>
  <c r="G2593" i="3"/>
  <c r="F2593" i="3"/>
  <c r="D2593" i="3"/>
  <c r="A2593" i="3"/>
  <c r="H2592" i="3"/>
  <c r="G2592" i="3"/>
  <c r="F2592" i="3"/>
  <c r="D2592" i="3"/>
  <c r="A2592" i="3"/>
  <c r="H2591" i="3"/>
  <c r="G2591" i="3"/>
  <c r="F2591" i="3"/>
  <c r="D2591" i="3"/>
  <c r="A2591" i="3"/>
  <c r="H2590" i="3"/>
  <c r="G2590" i="3"/>
  <c r="F2590" i="3"/>
  <c r="D2590" i="3"/>
  <c r="A2590" i="3"/>
  <c r="H2589" i="3"/>
  <c r="G2589" i="3"/>
  <c r="F2589" i="3"/>
  <c r="D2589" i="3"/>
  <c r="A2589" i="3"/>
  <c r="H2588" i="3"/>
  <c r="G2588" i="3"/>
  <c r="F2588" i="3"/>
  <c r="D2588" i="3"/>
  <c r="A2588" i="3"/>
  <c r="H2587" i="3"/>
  <c r="G2587" i="3"/>
  <c r="F2587" i="3"/>
  <c r="D2587" i="3"/>
  <c r="A2587" i="3"/>
  <c r="H2586" i="3"/>
  <c r="G2586" i="3"/>
  <c r="F2586" i="3"/>
  <c r="D2586" i="3"/>
  <c r="A2586" i="3"/>
  <c r="H2585" i="3"/>
  <c r="G2585" i="3"/>
  <c r="F2585" i="3"/>
  <c r="D2585" i="3"/>
  <c r="A2585" i="3"/>
  <c r="H2584" i="3"/>
  <c r="G2584" i="3"/>
  <c r="F2584" i="3"/>
  <c r="D2584" i="3"/>
  <c r="A2584" i="3"/>
  <c r="H2583" i="3"/>
  <c r="G2583" i="3"/>
  <c r="F2583" i="3"/>
  <c r="D2583" i="3"/>
  <c r="A2583" i="3"/>
  <c r="H2582" i="3"/>
  <c r="G2582" i="3"/>
  <c r="F2582" i="3"/>
  <c r="D2582" i="3"/>
  <c r="A2582" i="3"/>
  <c r="H2581" i="3"/>
  <c r="G2581" i="3"/>
  <c r="F2581" i="3"/>
  <c r="D2581" i="3"/>
  <c r="A2581" i="3"/>
  <c r="H2580" i="3"/>
  <c r="G2580" i="3"/>
  <c r="F2580" i="3"/>
  <c r="D2580" i="3"/>
  <c r="A2580" i="3"/>
  <c r="H2579" i="3"/>
  <c r="G2579" i="3"/>
  <c r="F2579" i="3"/>
  <c r="D2579" i="3"/>
  <c r="A2579" i="3"/>
  <c r="H2578" i="3"/>
  <c r="G2578" i="3"/>
  <c r="F2578" i="3"/>
  <c r="D2578" i="3"/>
  <c r="A2578" i="3"/>
  <c r="H2577" i="3"/>
  <c r="G2577" i="3"/>
  <c r="F2577" i="3"/>
  <c r="D2577" i="3"/>
  <c r="A2577" i="3"/>
  <c r="H2576" i="3"/>
  <c r="G2576" i="3"/>
  <c r="F2576" i="3"/>
  <c r="D2576" i="3"/>
  <c r="A2576" i="3"/>
  <c r="H2575" i="3"/>
  <c r="G2575" i="3"/>
  <c r="F2575" i="3"/>
  <c r="D2575" i="3"/>
  <c r="A2575" i="3"/>
  <c r="H2574" i="3"/>
  <c r="G2574" i="3"/>
  <c r="F2574" i="3"/>
  <c r="D2574" i="3"/>
  <c r="A2574" i="3"/>
  <c r="H2573" i="3"/>
  <c r="G2573" i="3"/>
  <c r="F2573" i="3"/>
  <c r="D2573" i="3"/>
  <c r="A2573" i="3"/>
  <c r="H2572" i="3"/>
  <c r="G2572" i="3"/>
  <c r="F2572" i="3"/>
  <c r="D2572" i="3"/>
  <c r="A2572" i="3"/>
  <c r="H2571" i="3"/>
  <c r="G2571" i="3"/>
  <c r="F2571" i="3"/>
  <c r="D2571" i="3"/>
  <c r="A2571" i="3"/>
  <c r="H2570" i="3"/>
  <c r="G2570" i="3"/>
  <c r="F2570" i="3"/>
  <c r="D2570" i="3"/>
  <c r="A2570" i="3"/>
  <c r="H2569" i="3"/>
  <c r="G2569" i="3"/>
  <c r="F2569" i="3"/>
  <c r="D2569" i="3"/>
  <c r="A2569" i="3"/>
  <c r="H2568" i="3"/>
  <c r="G2568" i="3"/>
  <c r="F2568" i="3"/>
  <c r="D2568" i="3"/>
  <c r="A2568" i="3"/>
  <c r="H2567" i="3"/>
  <c r="G2567" i="3"/>
  <c r="F2567" i="3"/>
  <c r="D2567" i="3"/>
  <c r="A2567" i="3"/>
  <c r="H2566" i="3"/>
  <c r="G2566" i="3"/>
  <c r="F2566" i="3"/>
  <c r="D2566" i="3"/>
  <c r="A2566" i="3"/>
  <c r="H2565" i="3"/>
  <c r="G2565" i="3"/>
  <c r="F2565" i="3"/>
  <c r="D2565" i="3"/>
  <c r="A2565" i="3"/>
  <c r="H2564" i="3"/>
  <c r="G2564" i="3"/>
  <c r="F2564" i="3"/>
  <c r="D2564" i="3"/>
  <c r="A2564" i="3"/>
  <c r="H2563" i="3"/>
  <c r="G2563" i="3"/>
  <c r="F2563" i="3"/>
  <c r="D2563" i="3"/>
  <c r="A2563" i="3"/>
  <c r="H2562" i="3"/>
  <c r="G2562" i="3"/>
  <c r="F2562" i="3"/>
  <c r="D2562" i="3"/>
  <c r="A2562" i="3"/>
  <c r="H2561" i="3"/>
  <c r="G2561" i="3"/>
  <c r="F2561" i="3"/>
  <c r="D2561" i="3"/>
  <c r="A2561" i="3"/>
  <c r="H2560" i="3"/>
  <c r="G2560" i="3"/>
  <c r="F2560" i="3"/>
  <c r="D2560" i="3"/>
  <c r="A2560" i="3"/>
  <c r="H2559" i="3"/>
  <c r="G2559" i="3"/>
  <c r="F2559" i="3"/>
  <c r="D2559" i="3"/>
  <c r="A2559" i="3"/>
  <c r="H2558" i="3"/>
  <c r="G2558" i="3"/>
  <c r="F2558" i="3"/>
  <c r="D2558" i="3"/>
  <c r="A2558" i="3"/>
  <c r="H2557" i="3"/>
  <c r="G2557" i="3"/>
  <c r="F2557" i="3"/>
  <c r="D2557" i="3"/>
  <c r="A2557" i="3"/>
  <c r="H2556" i="3"/>
  <c r="G2556" i="3"/>
  <c r="F2556" i="3"/>
  <c r="D2556" i="3"/>
  <c r="A2556" i="3"/>
  <c r="H2555" i="3"/>
  <c r="G2555" i="3"/>
  <c r="F2555" i="3"/>
  <c r="D2555" i="3"/>
  <c r="A2555" i="3"/>
  <c r="H2554" i="3"/>
  <c r="G2554" i="3"/>
  <c r="F2554" i="3"/>
  <c r="D2554" i="3"/>
  <c r="A2554" i="3"/>
  <c r="H2553" i="3"/>
  <c r="G2553" i="3"/>
  <c r="F2553" i="3"/>
  <c r="D2553" i="3"/>
  <c r="A2553" i="3"/>
  <c r="H2552" i="3"/>
  <c r="G2552" i="3"/>
  <c r="F2552" i="3"/>
  <c r="D2552" i="3"/>
  <c r="A2552" i="3"/>
  <c r="H2551" i="3"/>
  <c r="G2551" i="3"/>
  <c r="F2551" i="3"/>
  <c r="D2551" i="3"/>
  <c r="A2551" i="3"/>
  <c r="H2550" i="3"/>
  <c r="G2550" i="3"/>
  <c r="F2550" i="3"/>
  <c r="D2550" i="3"/>
  <c r="A2550" i="3"/>
  <c r="H2549" i="3"/>
  <c r="G2549" i="3"/>
  <c r="F2549" i="3"/>
  <c r="D2549" i="3"/>
  <c r="A2549" i="3"/>
  <c r="H2548" i="3"/>
  <c r="G2548" i="3"/>
  <c r="F2548" i="3"/>
  <c r="D2548" i="3"/>
  <c r="A2548" i="3"/>
  <c r="H2547" i="3"/>
  <c r="G2547" i="3"/>
  <c r="F2547" i="3"/>
  <c r="D2547" i="3"/>
  <c r="A2547" i="3"/>
  <c r="H2546" i="3"/>
  <c r="G2546" i="3"/>
  <c r="F2546" i="3"/>
  <c r="D2546" i="3"/>
  <c r="A2546" i="3"/>
  <c r="H2545" i="3"/>
  <c r="G2545" i="3"/>
  <c r="F2545" i="3"/>
  <c r="D2545" i="3"/>
  <c r="A2545" i="3"/>
  <c r="J2544" i="3"/>
  <c r="H2544" i="3"/>
  <c r="G2544" i="3"/>
  <c r="F2544" i="3"/>
  <c r="D2544" i="3"/>
  <c r="A2544" i="3"/>
  <c r="H2543" i="3"/>
  <c r="G2543" i="3"/>
  <c r="F2543" i="3"/>
  <c r="D2543" i="3"/>
  <c r="A2543" i="3"/>
  <c r="H2542" i="3"/>
  <c r="G2542" i="3"/>
  <c r="F2542" i="3"/>
  <c r="D2542" i="3"/>
  <c r="A2542" i="3"/>
  <c r="H2541" i="3"/>
  <c r="G2541" i="3"/>
  <c r="F2541" i="3"/>
  <c r="D2541" i="3"/>
  <c r="A2541" i="3"/>
  <c r="H2540" i="3"/>
  <c r="G2540" i="3"/>
  <c r="F2540" i="3"/>
  <c r="D2540" i="3"/>
  <c r="A2540" i="3"/>
  <c r="H2539" i="3"/>
  <c r="G2539" i="3"/>
  <c r="F2539" i="3"/>
  <c r="D2539" i="3"/>
  <c r="A2539" i="3"/>
  <c r="H2538" i="3"/>
  <c r="G2538" i="3"/>
  <c r="F2538" i="3"/>
  <c r="D2538" i="3"/>
  <c r="A2538" i="3"/>
  <c r="H2537" i="3"/>
  <c r="G2537" i="3"/>
  <c r="F2537" i="3"/>
  <c r="D2537" i="3"/>
  <c r="A2537" i="3"/>
  <c r="H2536" i="3"/>
  <c r="G2536" i="3"/>
  <c r="F2536" i="3"/>
  <c r="D2536" i="3"/>
  <c r="A2536" i="3"/>
  <c r="H2535" i="3"/>
  <c r="G2535" i="3"/>
  <c r="F2535" i="3"/>
  <c r="D2535" i="3"/>
  <c r="A2535" i="3"/>
  <c r="H2534" i="3"/>
  <c r="G2534" i="3"/>
  <c r="F2534" i="3"/>
  <c r="D2534" i="3"/>
  <c r="A2534" i="3"/>
  <c r="H2533" i="3"/>
  <c r="G2533" i="3"/>
  <c r="F2533" i="3"/>
  <c r="D2533" i="3"/>
  <c r="A2533" i="3"/>
  <c r="J2532" i="3"/>
  <c r="H2532" i="3"/>
  <c r="G2532" i="3"/>
  <c r="F2532" i="3"/>
  <c r="D2532" i="3"/>
  <c r="A2532" i="3"/>
  <c r="H2531" i="3"/>
  <c r="G2531" i="3"/>
  <c r="F2531" i="3"/>
  <c r="D2531" i="3"/>
  <c r="A2531" i="3"/>
  <c r="H2530" i="3"/>
  <c r="G2530" i="3"/>
  <c r="F2530" i="3"/>
  <c r="D2530" i="3"/>
  <c r="A2530" i="3"/>
  <c r="H2529" i="3"/>
  <c r="G2529" i="3"/>
  <c r="F2529" i="3"/>
  <c r="D2529" i="3"/>
  <c r="A2529" i="3"/>
  <c r="H2528" i="3"/>
  <c r="G2528" i="3"/>
  <c r="F2528" i="3"/>
  <c r="D2528" i="3"/>
  <c r="A2528" i="3"/>
  <c r="H2527" i="3"/>
  <c r="G2527" i="3"/>
  <c r="F2527" i="3"/>
  <c r="D2527" i="3"/>
  <c r="A2527" i="3"/>
  <c r="H2526" i="3"/>
  <c r="G2526" i="3"/>
  <c r="F2526" i="3"/>
  <c r="D2526" i="3"/>
  <c r="A2526" i="3"/>
  <c r="H2525" i="3"/>
  <c r="G2525" i="3"/>
  <c r="F2525" i="3"/>
  <c r="D2525" i="3"/>
  <c r="A2525" i="3"/>
  <c r="H2524" i="3"/>
  <c r="G2524" i="3"/>
  <c r="F2524" i="3"/>
  <c r="D2524" i="3"/>
  <c r="A2524" i="3"/>
  <c r="H2523" i="3"/>
  <c r="G2523" i="3"/>
  <c r="F2523" i="3"/>
  <c r="D2523" i="3"/>
  <c r="A2523" i="3"/>
  <c r="J2522" i="3"/>
  <c r="H2522" i="3"/>
  <c r="G2522" i="3"/>
  <c r="F2522" i="3"/>
  <c r="D2522" i="3"/>
  <c r="A2522" i="3"/>
  <c r="J2521" i="3"/>
  <c r="H2521" i="3"/>
  <c r="G2521" i="3"/>
  <c r="F2521" i="3"/>
  <c r="D2521" i="3"/>
  <c r="A2521" i="3"/>
  <c r="J2520" i="3"/>
  <c r="H2520" i="3"/>
  <c r="G2520" i="3"/>
  <c r="F2520" i="3"/>
  <c r="D2520" i="3"/>
  <c r="A2520" i="3"/>
  <c r="H2519" i="3"/>
  <c r="G2519" i="3"/>
  <c r="F2519" i="3"/>
  <c r="D2519" i="3"/>
  <c r="A2519" i="3"/>
  <c r="H2518" i="3"/>
  <c r="G2518" i="3"/>
  <c r="F2518" i="3"/>
  <c r="D2518" i="3"/>
  <c r="A2518" i="3"/>
  <c r="H2517" i="3"/>
  <c r="G2517" i="3"/>
  <c r="F2517" i="3"/>
  <c r="D2517" i="3"/>
  <c r="A2517" i="3"/>
  <c r="H2516" i="3"/>
  <c r="G2516" i="3"/>
  <c r="F2516" i="3"/>
  <c r="D2516" i="3"/>
  <c r="A2516" i="3"/>
  <c r="H2515" i="3"/>
  <c r="G2515" i="3"/>
  <c r="F2515" i="3"/>
  <c r="D2515" i="3"/>
  <c r="A2515" i="3"/>
  <c r="H2514" i="3"/>
  <c r="G2514" i="3"/>
  <c r="F2514" i="3"/>
  <c r="D2514" i="3"/>
  <c r="A2514" i="3"/>
  <c r="H2513" i="3"/>
  <c r="G2513" i="3"/>
  <c r="F2513" i="3"/>
  <c r="D2513" i="3"/>
  <c r="A2513" i="3"/>
  <c r="H2512" i="3"/>
  <c r="G2512" i="3"/>
  <c r="F2512" i="3"/>
  <c r="D2512" i="3"/>
  <c r="A2512" i="3"/>
  <c r="H2511" i="3"/>
  <c r="G2511" i="3"/>
  <c r="F2511" i="3"/>
  <c r="D2511" i="3"/>
  <c r="A2511" i="3"/>
  <c r="J2510" i="3"/>
  <c r="H2510" i="3"/>
  <c r="G2510" i="3"/>
  <c r="F2510" i="3"/>
  <c r="D2510" i="3"/>
  <c r="A2510" i="3"/>
  <c r="H2509" i="3"/>
  <c r="G2509" i="3"/>
  <c r="F2509" i="3"/>
  <c r="D2509" i="3"/>
  <c r="A2509" i="3"/>
  <c r="H2508" i="3"/>
  <c r="G2508" i="3"/>
  <c r="F2508" i="3"/>
  <c r="D2508" i="3"/>
  <c r="A2508" i="3"/>
  <c r="H2507" i="3"/>
  <c r="G2507" i="3"/>
  <c r="F2507" i="3"/>
  <c r="D2507" i="3"/>
  <c r="A2507" i="3"/>
  <c r="H2506" i="3"/>
  <c r="G2506" i="3"/>
  <c r="F2506" i="3"/>
  <c r="D2506" i="3"/>
  <c r="A2506" i="3"/>
  <c r="H2505" i="3"/>
  <c r="G2505" i="3"/>
  <c r="F2505" i="3"/>
  <c r="D2505" i="3"/>
  <c r="A2505" i="3"/>
  <c r="H2504" i="3"/>
  <c r="G2504" i="3"/>
  <c r="F2504" i="3"/>
  <c r="D2504" i="3"/>
  <c r="A2504" i="3"/>
  <c r="H2503" i="3"/>
  <c r="G2503" i="3"/>
  <c r="F2503" i="3"/>
  <c r="D2503" i="3"/>
  <c r="A2503" i="3"/>
  <c r="H2502" i="3"/>
  <c r="G2502" i="3"/>
  <c r="F2502" i="3"/>
  <c r="D2502" i="3"/>
  <c r="A2502" i="3"/>
  <c r="H2501" i="3"/>
  <c r="G2501" i="3"/>
  <c r="F2501" i="3"/>
  <c r="D2501" i="3"/>
  <c r="A2501" i="3"/>
  <c r="H2500" i="3"/>
  <c r="G2500" i="3"/>
  <c r="F2500" i="3"/>
  <c r="D2500" i="3"/>
  <c r="A2500" i="3"/>
  <c r="H2499" i="3"/>
  <c r="G2499" i="3"/>
  <c r="F2499" i="3"/>
  <c r="D2499" i="3"/>
  <c r="A2499" i="3"/>
  <c r="H2498" i="3"/>
  <c r="G2498" i="3"/>
  <c r="F2498" i="3"/>
  <c r="D2498" i="3"/>
  <c r="A2498" i="3"/>
  <c r="H2497" i="3"/>
  <c r="G2497" i="3"/>
  <c r="F2497" i="3"/>
  <c r="D2497" i="3"/>
  <c r="A2497" i="3"/>
  <c r="J2496" i="3"/>
  <c r="H2496" i="3"/>
  <c r="G2496" i="3"/>
  <c r="F2496" i="3"/>
  <c r="D2496" i="3"/>
  <c r="A2496" i="3"/>
  <c r="J2495" i="3"/>
  <c r="H2495" i="3"/>
  <c r="G2495" i="3"/>
  <c r="F2495" i="3"/>
  <c r="D2495" i="3"/>
  <c r="A2495" i="3"/>
  <c r="H2494" i="3"/>
  <c r="G2494" i="3"/>
  <c r="F2494" i="3"/>
  <c r="D2494" i="3"/>
  <c r="A2494" i="3"/>
  <c r="H2493" i="3"/>
  <c r="G2493" i="3"/>
  <c r="F2493" i="3"/>
  <c r="D2493" i="3"/>
  <c r="A2493" i="3"/>
  <c r="H2492" i="3"/>
  <c r="G2492" i="3"/>
  <c r="F2492" i="3"/>
  <c r="D2492" i="3"/>
  <c r="A2492" i="3"/>
  <c r="H2491" i="3"/>
  <c r="G2491" i="3"/>
  <c r="F2491" i="3"/>
  <c r="D2491" i="3"/>
  <c r="A2491" i="3"/>
  <c r="H2490" i="3"/>
  <c r="G2490" i="3"/>
  <c r="F2490" i="3"/>
  <c r="D2490" i="3"/>
  <c r="A2490" i="3"/>
  <c r="J2489" i="3"/>
  <c r="H2489" i="3"/>
  <c r="G2489" i="3"/>
  <c r="F2489" i="3"/>
  <c r="D2489" i="3"/>
  <c r="A2489" i="3"/>
  <c r="H2488" i="3"/>
  <c r="G2488" i="3"/>
  <c r="F2488" i="3"/>
  <c r="D2488" i="3"/>
  <c r="A2488" i="3"/>
  <c r="H2487" i="3"/>
  <c r="G2487" i="3"/>
  <c r="F2487" i="3"/>
  <c r="D2487" i="3"/>
  <c r="A2487" i="3"/>
  <c r="H2486" i="3"/>
  <c r="G2486" i="3"/>
  <c r="F2486" i="3"/>
  <c r="D2486" i="3"/>
  <c r="A2486" i="3"/>
  <c r="H2485" i="3"/>
  <c r="G2485" i="3"/>
  <c r="F2485" i="3"/>
  <c r="D2485" i="3"/>
  <c r="A2485" i="3"/>
  <c r="H2484" i="3"/>
  <c r="G2484" i="3"/>
  <c r="F2484" i="3"/>
  <c r="D2484" i="3"/>
  <c r="A2484" i="3"/>
  <c r="H2483" i="3"/>
  <c r="G2483" i="3"/>
  <c r="F2483" i="3"/>
  <c r="D2483" i="3"/>
  <c r="A2483" i="3"/>
  <c r="H2482" i="3"/>
  <c r="G2482" i="3"/>
  <c r="F2482" i="3"/>
  <c r="D2482" i="3"/>
  <c r="A2482" i="3"/>
  <c r="J2481" i="3"/>
  <c r="H2481" i="3"/>
  <c r="G2481" i="3"/>
  <c r="F2481" i="3"/>
  <c r="D2481" i="3"/>
  <c r="A2481" i="3"/>
  <c r="H2480" i="3"/>
  <c r="G2480" i="3"/>
  <c r="F2480" i="3"/>
  <c r="D2480" i="3"/>
  <c r="A2480" i="3"/>
  <c r="J2479" i="3"/>
  <c r="H2479" i="3"/>
  <c r="G2479" i="3"/>
  <c r="F2479" i="3"/>
  <c r="D2479" i="3"/>
  <c r="A2479" i="3"/>
  <c r="J2478" i="3"/>
  <c r="H2478" i="3"/>
  <c r="G2478" i="3"/>
  <c r="F2478" i="3"/>
  <c r="D2478" i="3"/>
  <c r="A2478" i="3"/>
  <c r="H2477" i="3"/>
  <c r="G2477" i="3"/>
  <c r="F2477" i="3"/>
  <c r="D2477" i="3"/>
  <c r="A2477" i="3"/>
  <c r="H2476" i="3"/>
  <c r="G2476" i="3"/>
  <c r="F2476" i="3"/>
  <c r="D2476" i="3"/>
  <c r="A2476" i="3"/>
  <c r="H2475" i="3"/>
  <c r="G2475" i="3"/>
  <c r="F2475" i="3"/>
  <c r="D2475" i="3"/>
  <c r="A2475" i="3"/>
  <c r="H2474" i="3"/>
  <c r="G2474" i="3"/>
  <c r="F2474" i="3"/>
  <c r="D2474" i="3"/>
  <c r="A2474" i="3"/>
  <c r="J2473" i="3"/>
  <c r="H2473" i="3"/>
  <c r="G2473" i="3"/>
  <c r="F2473" i="3"/>
  <c r="D2473" i="3"/>
  <c r="A2473" i="3"/>
  <c r="H2472" i="3"/>
  <c r="G2472" i="3"/>
  <c r="F2472" i="3"/>
  <c r="D2472" i="3"/>
  <c r="A2472" i="3"/>
  <c r="H2471" i="3"/>
  <c r="G2471" i="3"/>
  <c r="F2471" i="3"/>
  <c r="D2471" i="3"/>
  <c r="A2471" i="3"/>
  <c r="H2470" i="3"/>
  <c r="G2470" i="3"/>
  <c r="F2470" i="3"/>
  <c r="D2470" i="3"/>
  <c r="A2470" i="3"/>
  <c r="J2469" i="3"/>
  <c r="H2469" i="3"/>
  <c r="G2469" i="3"/>
  <c r="F2469" i="3"/>
  <c r="D2469" i="3"/>
  <c r="A2469" i="3"/>
  <c r="H2468" i="3"/>
  <c r="G2468" i="3"/>
  <c r="F2468" i="3"/>
  <c r="D2468" i="3"/>
  <c r="A2468" i="3"/>
  <c r="J2467" i="3"/>
  <c r="H2467" i="3"/>
  <c r="G2467" i="3"/>
  <c r="F2467" i="3"/>
  <c r="D2467" i="3"/>
  <c r="A2467" i="3"/>
  <c r="J2466" i="3"/>
  <c r="H2466" i="3"/>
  <c r="G2466" i="3"/>
  <c r="F2466" i="3"/>
  <c r="D2466" i="3"/>
  <c r="A2466" i="3"/>
  <c r="H2465" i="3"/>
  <c r="G2465" i="3"/>
  <c r="F2465" i="3"/>
  <c r="D2465" i="3"/>
  <c r="A2465" i="3"/>
  <c r="H2464" i="3"/>
  <c r="G2464" i="3"/>
  <c r="F2464" i="3"/>
  <c r="D2464" i="3"/>
  <c r="A2464" i="3"/>
  <c r="H2463" i="3"/>
  <c r="G2463" i="3"/>
  <c r="F2463" i="3"/>
  <c r="D2463" i="3"/>
  <c r="A2463" i="3"/>
  <c r="H2462" i="3"/>
  <c r="G2462" i="3"/>
  <c r="F2462" i="3"/>
  <c r="D2462" i="3"/>
  <c r="A2462" i="3"/>
  <c r="J2461" i="3"/>
  <c r="H2461" i="3"/>
  <c r="G2461" i="3"/>
  <c r="F2461" i="3"/>
  <c r="D2461" i="3"/>
  <c r="A2461" i="3"/>
  <c r="H2460" i="3"/>
  <c r="G2460" i="3"/>
  <c r="F2460" i="3"/>
  <c r="D2460" i="3"/>
  <c r="A2460" i="3"/>
  <c r="H2459" i="3"/>
  <c r="G2459" i="3"/>
  <c r="F2459" i="3"/>
  <c r="D2459" i="3"/>
  <c r="A2459" i="3"/>
  <c r="H2458" i="3"/>
  <c r="G2458" i="3"/>
  <c r="F2458" i="3"/>
  <c r="D2458" i="3"/>
  <c r="A2458" i="3"/>
  <c r="H2457" i="3"/>
  <c r="G2457" i="3"/>
  <c r="F2457" i="3"/>
  <c r="D2457" i="3"/>
  <c r="A2457" i="3"/>
  <c r="H2456" i="3"/>
  <c r="G2456" i="3"/>
  <c r="F2456" i="3"/>
  <c r="D2456" i="3"/>
  <c r="A2456" i="3"/>
  <c r="H2455" i="3"/>
  <c r="G2455" i="3"/>
  <c r="F2455" i="3"/>
  <c r="D2455" i="3"/>
  <c r="A2455" i="3"/>
  <c r="H2454" i="3"/>
  <c r="G2454" i="3"/>
  <c r="F2454" i="3"/>
  <c r="D2454" i="3"/>
  <c r="A2454" i="3"/>
  <c r="J2453" i="3"/>
  <c r="H2453" i="3"/>
  <c r="G2453" i="3"/>
  <c r="F2453" i="3"/>
  <c r="D2453" i="3"/>
  <c r="A2453" i="3"/>
  <c r="H2452" i="3"/>
  <c r="G2452" i="3"/>
  <c r="F2452" i="3"/>
  <c r="D2452" i="3"/>
  <c r="A2452" i="3"/>
  <c r="H2451" i="3"/>
  <c r="G2451" i="3"/>
  <c r="F2451" i="3"/>
  <c r="D2451" i="3"/>
  <c r="A2451" i="3"/>
  <c r="H2450" i="3"/>
  <c r="G2450" i="3"/>
  <c r="F2450" i="3"/>
  <c r="D2450" i="3"/>
  <c r="A2450" i="3"/>
  <c r="H2449" i="3"/>
  <c r="G2449" i="3"/>
  <c r="F2449" i="3"/>
  <c r="D2449" i="3"/>
  <c r="A2449" i="3"/>
  <c r="H2448" i="3"/>
  <c r="G2448" i="3"/>
  <c r="F2448" i="3"/>
  <c r="D2448" i="3"/>
  <c r="A2448" i="3"/>
  <c r="H2447" i="3"/>
  <c r="G2447" i="3"/>
  <c r="F2447" i="3"/>
  <c r="D2447" i="3"/>
  <c r="A2447" i="3"/>
  <c r="H2446" i="3"/>
  <c r="G2446" i="3"/>
  <c r="F2446" i="3"/>
  <c r="D2446" i="3"/>
  <c r="A2446" i="3"/>
  <c r="H2445" i="3"/>
  <c r="G2445" i="3"/>
  <c r="F2445" i="3"/>
  <c r="D2445" i="3"/>
  <c r="A2445" i="3"/>
  <c r="H2444" i="3"/>
  <c r="G2444" i="3"/>
  <c r="F2444" i="3"/>
  <c r="D2444" i="3"/>
  <c r="A2444" i="3"/>
  <c r="H2443" i="3"/>
  <c r="G2443" i="3"/>
  <c r="F2443" i="3"/>
  <c r="D2443" i="3"/>
  <c r="A2443" i="3"/>
  <c r="J2442" i="3"/>
  <c r="H2442" i="3"/>
  <c r="G2442" i="3"/>
  <c r="F2442" i="3"/>
  <c r="D2442" i="3"/>
  <c r="A2442" i="3"/>
  <c r="H2441" i="3"/>
  <c r="G2441" i="3"/>
  <c r="F2441" i="3"/>
  <c r="D2441" i="3"/>
  <c r="A2441" i="3"/>
  <c r="H2440" i="3"/>
  <c r="G2440" i="3"/>
  <c r="F2440" i="3"/>
  <c r="D2440" i="3"/>
  <c r="A2440" i="3"/>
  <c r="H2439" i="3"/>
  <c r="G2439" i="3"/>
  <c r="F2439" i="3"/>
  <c r="D2439" i="3"/>
  <c r="A2439" i="3"/>
  <c r="H2438" i="3"/>
  <c r="G2438" i="3"/>
  <c r="F2438" i="3"/>
  <c r="D2438" i="3"/>
  <c r="A2438" i="3"/>
  <c r="H2437" i="3"/>
  <c r="G2437" i="3"/>
  <c r="F2437" i="3"/>
  <c r="D2437" i="3"/>
  <c r="A2437" i="3"/>
  <c r="H2436" i="3"/>
  <c r="G2436" i="3"/>
  <c r="F2436" i="3"/>
  <c r="D2436" i="3"/>
  <c r="A2436" i="3"/>
  <c r="H2435" i="3"/>
  <c r="G2435" i="3"/>
  <c r="F2435" i="3"/>
  <c r="D2435" i="3"/>
  <c r="A2435" i="3"/>
  <c r="H2434" i="3"/>
  <c r="G2434" i="3"/>
  <c r="F2434" i="3"/>
  <c r="D2434" i="3"/>
  <c r="A2434" i="3"/>
  <c r="H2433" i="3"/>
  <c r="G2433" i="3"/>
  <c r="F2433" i="3"/>
  <c r="D2433" i="3"/>
  <c r="A2433" i="3"/>
  <c r="H2432" i="3"/>
  <c r="G2432" i="3"/>
  <c r="F2432" i="3"/>
  <c r="D2432" i="3"/>
  <c r="A2432" i="3"/>
  <c r="J2431" i="3"/>
  <c r="H2431" i="3"/>
  <c r="G2431" i="3"/>
  <c r="F2431" i="3"/>
  <c r="D2431" i="3"/>
  <c r="A2431" i="3"/>
  <c r="J2430" i="3"/>
  <c r="H2430" i="3"/>
  <c r="G2430" i="3"/>
  <c r="F2430" i="3"/>
  <c r="D2430" i="3"/>
  <c r="A2430" i="3"/>
  <c r="H2429" i="3"/>
  <c r="G2429" i="3"/>
  <c r="F2429" i="3"/>
  <c r="D2429" i="3"/>
  <c r="A2429" i="3"/>
  <c r="H2428" i="3"/>
  <c r="G2428" i="3"/>
  <c r="F2428" i="3"/>
  <c r="D2428" i="3"/>
  <c r="A2428" i="3"/>
  <c r="H2427" i="3"/>
  <c r="G2427" i="3"/>
  <c r="F2427" i="3"/>
  <c r="D2427" i="3"/>
  <c r="A2427" i="3"/>
  <c r="H2426" i="3"/>
  <c r="G2426" i="3"/>
  <c r="F2426" i="3"/>
  <c r="D2426" i="3"/>
  <c r="A2426" i="3"/>
  <c r="J2425" i="3"/>
  <c r="H2425" i="3"/>
  <c r="G2425" i="3"/>
  <c r="F2425" i="3"/>
  <c r="D2425" i="3"/>
  <c r="A2425" i="3"/>
  <c r="H2424" i="3"/>
  <c r="G2424" i="3"/>
  <c r="F2424" i="3"/>
  <c r="D2424" i="3"/>
  <c r="A2424" i="3"/>
  <c r="H2423" i="3"/>
  <c r="G2423" i="3"/>
  <c r="F2423" i="3"/>
  <c r="D2423" i="3"/>
  <c r="A2423" i="3"/>
  <c r="H2422" i="3"/>
  <c r="G2422" i="3"/>
  <c r="F2422" i="3"/>
  <c r="D2422" i="3"/>
  <c r="A2422" i="3"/>
  <c r="J2421" i="3"/>
  <c r="H2421" i="3"/>
  <c r="G2421" i="3"/>
  <c r="F2421" i="3"/>
  <c r="D2421" i="3"/>
  <c r="A2421" i="3"/>
  <c r="H2420" i="3"/>
  <c r="G2420" i="3"/>
  <c r="F2420" i="3"/>
  <c r="D2420" i="3"/>
  <c r="A2420" i="3"/>
  <c r="H2419" i="3"/>
  <c r="G2419" i="3"/>
  <c r="F2419" i="3"/>
  <c r="D2419" i="3"/>
  <c r="A2419" i="3"/>
  <c r="H2418" i="3"/>
  <c r="G2418" i="3"/>
  <c r="F2418" i="3"/>
  <c r="D2418" i="3"/>
  <c r="A2418" i="3"/>
  <c r="J2417" i="3"/>
  <c r="H2417" i="3"/>
  <c r="G2417" i="3"/>
  <c r="F2417" i="3"/>
  <c r="D2417" i="3"/>
  <c r="A2417" i="3"/>
  <c r="J2416" i="3"/>
  <c r="H2416" i="3"/>
  <c r="G2416" i="3"/>
  <c r="F2416" i="3"/>
  <c r="D2416" i="3"/>
  <c r="A2416" i="3"/>
  <c r="J2415" i="3"/>
  <c r="H2415" i="3"/>
  <c r="G2415" i="3"/>
  <c r="F2415" i="3"/>
  <c r="D2415" i="3"/>
  <c r="A2415" i="3"/>
  <c r="H2414" i="3"/>
  <c r="G2414" i="3"/>
  <c r="F2414" i="3"/>
  <c r="D2414" i="3"/>
  <c r="A2414" i="3"/>
  <c r="H2413" i="3"/>
  <c r="G2413" i="3"/>
  <c r="F2413" i="3"/>
  <c r="D2413" i="3"/>
  <c r="A2413" i="3"/>
  <c r="J2412" i="3"/>
  <c r="H2412" i="3"/>
  <c r="G2412" i="3"/>
  <c r="F2412" i="3"/>
  <c r="D2412" i="3"/>
  <c r="A2412" i="3"/>
  <c r="H2411" i="3"/>
  <c r="G2411" i="3"/>
  <c r="F2411" i="3"/>
  <c r="D2411" i="3"/>
  <c r="A2411" i="3"/>
  <c r="H2410" i="3"/>
  <c r="G2410" i="3"/>
  <c r="F2410" i="3"/>
  <c r="D2410" i="3"/>
  <c r="A2410" i="3"/>
  <c r="H2409" i="3"/>
  <c r="G2409" i="3"/>
  <c r="F2409" i="3"/>
  <c r="D2409" i="3"/>
  <c r="A2409" i="3"/>
  <c r="H2408" i="3"/>
  <c r="G2408" i="3"/>
  <c r="F2408" i="3"/>
  <c r="D2408" i="3"/>
  <c r="A2408" i="3"/>
  <c r="J2407" i="3"/>
  <c r="H2407" i="3"/>
  <c r="G2407" i="3"/>
  <c r="F2407" i="3"/>
  <c r="D2407" i="3"/>
  <c r="A2407" i="3"/>
  <c r="H2406" i="3"/>
  <c r="G2406" i="3"/>
  <c r="F2406" i="3"/>
  <c r="D2406" i="3"/>
  <c r="A2406" i="3"/>
  <c r="J2405" i="3"/>
  <c r="H2405" i="3"/>
  <c r="G2405" i="3"/>
  <c r="F2405" i="3"/>
  <c r="D2405" i="3"/>
  <c r="A2405" i="3"/>
  <c r="J2404" i="3"/>
  <c r="H2404" i="3"/>
  <c r="G2404" i="3"/>
  <c r="F2404" i="3"/>
  <c r="D2404" i="3"/>
  <c r="A2404" i="3"/>
  <c r="J2403" i="3"/>
  <c r="H2403" i="3"/>
  <c r="G2403" i="3"/>
  <c r="F2403" i="3"/>
  <c r="D2403" i="3"/>
  <c r="A2403" i="3"/>
  <c r="J2402" i="3"/>
  <c r="H2402" i="3"/>
  <c r="G2402" i="3"/>
  <c r="F2402" i="3"/>
  <c r="D2402" i="3"/>
  <c r="A2402" i="3"/>
  <c r="J2401" i="3"/>
  <c r="H2401" i="3"/>
  <c r="G2401" i="3"/>
  <c r="F2401" i="3"/>
  <c r="D2401" i="3"/>
  <c r="A2401" i="3"/>
  <c r="J2400" i="3"/>
  <c r="H2400" i="3"/>
  <c r="G2400" i="3"/>
  <c r="F2400" i="3"/>
  <c r="D2400" i="3"/>
  <c r="A2400" i="3"/>
  <c r="H2399" i="3"/>
  <c r="G2399" i="3"/>
  <c r="F2399" i="3"/>
  <c r="D2399" i="3"/>
  <c r="A2399" i="3"/>
  <c r="H2398" i="3"/>
  <c r="G2398" i="3"/>
  <c r="F2398" i="3"/>
  <c r="D2398" i="3"/>
  <c r="A2398" i="3"/>
  <c r="H2397" i="3"/>
  <c r="G2397" i="3"/>
  <c r="F2397" i="3"/>
  <c r="D2397" i="3"/>
  <c r="A2397" i="3"/>
  <c r="H2396" i="3"/>
  <c r="G2396" i="3"/>
  <c r="F2396" i="3"/>
  <c r="D2396" i="3"/>
  <c r="A2396" i="3"/>
  <c r="H2395" i="3"/>
  <c r="G2395" i="3"/>
  <c r="F2395" i="3"/>
  <c r="D2395" i="3"/>
  <c r="A2395" i="3"/>
  <c r="J2394" i="3"/>
  <c r="H2394" i="3"/>
  <c r="G2394" i="3"/>
  <c r="F2394" i="3"/>
  <c r="D2394" i="3"/>
  <c r="A2394" i="3"/>
  <c r="H2393" i="3"/>
  <c r="G2393" i="3"/>
  <c r="F2393" i="3"/>
  <c r="D2393" i="3"/>
  <c r="A2393" i="3"/>
  <c r="H2392" i="3"/>
  <c r="G2392" i="3"/>
  <c r="F2392" i="3"/>
  <c r="D2392" i="3"/>
  <c r="A2392" i="3"/>
  <c r="H2391" i="3"/>
  <c r="G2391" i="3"/>
  <c r="F2391" i="3"/>
  <c r="D2391" i="3"/>
  <c r="A2391" i="3"/>
  <c r="H2390" i="3"/>
  <c r="G2390" i="3"/>
  <c r="F2390" i="3"/>
  <c r="D2390" i="3"/>
  <c r="A2390" i="3"/>
  <c r="J2389" i="3"/>
  <c r="H2389" i="3"/>
  <c r="G2389" i="3"/>
  <c r="F2389" i="3"/>
  <c r="D2389" i="3"/>
  <c r="A2389" i="3"/>
  <c r="H2388" i="3"/>
  <c r="G2388" i="3"/>
  <c r="F2388" i="3"/>
  <c r="D2388" i="3"/>
  <c r="A2388" i="3"/>
  <c r="H2387" i="3"/>
  <c r="G2387" i="3"/>
  <c r="F2387" i="3"/>
  <c r="D2387" i="3"/>
  <c r="A2387" i="3"/>
  <c r="H2386" i="3"/>
  <c r="G2386" i="3"/>
  <c r="F2386" i="3"/>
  <c r="D2386" i="3"/>
  <c r="A2386" i="3"/>
  <c r="H2385" i="3"/>
  <c r="G2385" i="3"/>
  <c r="F2385" i="3"/>
  <c r="D2385" i="3"/>
  <c r="A2385" i="3"/>
  <c r="H2384" i="3"/>
  <c r="G2384" i="3"/>
  <c r="F2384" i="3"/>
  <c r="D2384" i="3"/>
  <c r="A2384" i="3"/>
  <c r="J2383" i="3"/>
  <c r="H2383" i="3"/>
  <c r="G2383" i="3"/>
  <c r="F2383" i="3"/>
  <c r="D2383" i="3"/>
  <c r="A2383" i="3"/>
  <c r="H2382" i="3"/>
  <c r="G2382" i="3"/>
  <c r="F2382" i="3"/>
  <c r="D2382" i="3"/>
  <c r="A2382" i="3"/>
  <c r="H2381" i="3"/>
  <c r="G2381" i="3"/>
  <c r="F2381" i="3"/>
  <c r="D2381" i="3"/>
  <c r="A2381" i="3"/>
  <c r="H2380" i="3"/>
  <c r="G2380" i="3"/>
  <c r="F2380" i="3"/>
  <c r="D2380" i="3"/>
  <c r="A2380" i="3"/>
  <c r="H2379" i="3"/>
  <c r="G2379" i="3"/>
  <c r="F2379" i="3"/>
  <c r="D2379" i="3"/>
  <c r="A2379" i="3"/>
  <c r="H2378" i="3"/>
  <c r="G2378" i="3"/>
  <c r="F2378" i="3"/>
  <c r="D2378" i="3"/>
  <c r="A2378" i="3"/>
  <c r="H2377" i="3"/>
  <c r="G2377" i="3"/>
  <c r="F2377" i="3"/>
  <c r="D2377" i="3"/>
  <c r="A2377" i="3"/>
  <c r="H2376" i="3"/>
  <c r="G2376" i="3"/>
  <c r="F2376" i="3"/>
  <c r="D2376" i="3"/>
  <c r="A2376" i="3"/>
  <c r="H2375" i="3"/>
  <c r="G2375" i="3"/>
  <c r="F2375" i="3"/>
  <c r="D2375" i="3"/>
  <c r="A2375" i="3"/>
  <c r="H2374" i="3"/>
  <c r="G2374" i="3"/>
  <c r="F2374" i="3"/>
  <c r="D2374" i="3"/>
  <c r="A2374" i="3"/>
  <c r="H2373" i="3"/>
  <c r="G2373" i="3"/>
  <c r="F2373" i="3"/>
  <c r="D2373" i="3"/>
  <c r="A2373" i="3"/>
  <c r="J2372" i="3"/>
  <c r="H2372" i="3"/>
  <c r="G2372" i="3"/>
  <c r="F2372" i="3"/>
  <c r="D2372" i="3"/>
  <c r="A2372" i="3"/>
  <c r="H2371" i="3"/>
  <c r="G2371" i="3"/>
  <c r="F2371" i="3"/>
  <c r="D2371" i="3"/>
  <c r="A2371" i="3"/>
  <c r="H2370" i="3"/>
  <c r="G2370" i="3"/>
  <c r="F2370" i="3"/>
  <c r="D2370" i="3"/>
  <c r="A2370" i="3"/>
  <c r="H2369" i="3"/>
  <c r="G2369" i="3"/>
  <c r="F2369" i="3"/>
  <c r="D2369" i="3"/>
  <c r="A2369" i="3"/>
  <c r="H2368" i="3"/>
  <c r="G2368" i="3"/>
  <c r="F2368" i="3"/>
  <c r="D2368" i="3"/>
  <c r="A2368" i="3"/>
  <c r="H2367" i="3"/>
  <c r="G2367" i="3"/>
  <c r="F2367" i="3"/>
  <c r="D2367" i="3"/>
  <c r="A2367" i="3"/>
  <c r="J2366" i="3"/>
  <c r="H2366" i="3"/>
  <c r="G2366" i="3"/>
  <c r="F2366" i="3"/>
  <c r="D2366" i="3"/>
  <c r="A2366" i="3"/>
  <c r="H2365" i="3"/>
  <c r="G2365" i="3"/>
  <c r="F2365" i="3"/>
  <c r="D2365" i="3"/>
  <c r="A2365" i="3"/>
  <c r="H2364" i="3"/>
  <c r="G2364" i="3"/>
  <c r="F2364" i="3"/>
  <c r="D2364" i="3"/>
  <c r="A2364" i="3"/>
  <c r="H2363" i="3"/>
  <c r="G2363" i="3"/>
  <c r="F2363" i="3"/>
  <c r="D2363" i="3"/>
  <c r="A2363" i="3"/>
  <c r="H2362" i="3"/>
  <c r="G2362" i="3"/>
  <c r="F2362" i="3"/>
  <c r="D2362" i="3"/>
  <c r="A2362" i="3"/>
  <c r="H2361" i="3"/>
  <c r="G2361" i="3"/>
  <c r="F2361" i="3"/>
  <c r="D2361" i="3"/>
  <c r="A2361" i="3"/>
  <c r="H2360" i="3"/>
  <c r="G2360" i="3"/>
  <c r="F2360" i="3"/>
  <c r="D2360" i="3"/>
  <c r="A2360" i="3"/>
  <c r="H2359" i="3"/>
  <c r="G2359" i="3"/>
  <c r="F2359" i="3"/>
  <c r="D2359" i="3"/>
  <c r="A2359" i="3"/>
  <c r="H2358" i="3"/>
  <c r="G2358" i="3"/>
  <c r="F2358" i="3"/>
  <c r="D2358" i="3"/>
  <c r="A2358" i="3"/>
  <c r="H2357" i="3"/>
  <c r="G2357" i="3"/>
  <c r="F2357" i="3"/>
  <c r="D2357" i="3"/>
  <c r="A2357" i="3"/>
  <c r="H2356" i="3"/>
  <c r="G2356" i="3"/>
  <c r="F2356" i="3"/>
  <c r="D2356" i="3"/>
  <c r="A2356" i="3"/>
  <c r="H2355" i="3"/>
  <c r="G2355" i="3"/>
  <c r="F2355" i="3"/>
  <c r="D2355" i="3"/>
  <c r="A2355" i="3"/>
  <c r="H2354" i="3"/>
  <c r="G2354" i="3"/>
  <c r="F2354" i="3"/>
  <c r="D2354" i="3"/>
  <c r="A2354" i="3"/>
  <c r="J2353" i="3"/>
  <c r="H2353" i="3"/>
  <c r="G2353" i="3"/>
  <c r="F2353" i="3"/>
  <c r="D2353" i="3"/>
  <c r="A2353" i="3"/>
  <c r="H2352" i="3"/>
  <c r="G2352" i="3"/>
  <c r="F2352" i="3"/>
  <c r="D2352" i="3"/>
  <c r="A2352" i="3"/>
  <c r="H2351" i="3"/>
  <c r="G2351" i="3"/>
  <c r="F2351" i="3"/>
  <c r="D2351" i="3"/>
  <c r="A2351" i="3"/>
  <c r="H2350" i="3"/>
  <c r="G2350" i="3"/>
  <c r="F2350" i="3"/>
  <c r="D2350" i="3"/>
  <c r="A2350" i="3"/>
  <c r="H2349" i="3"/>
  <c r="G2349" i="3"/>
  <c r="F2349" i="3"/>
  <c r="D2349" i="3"/>
  <c r="A2349" i="3"/>
  <c r="H2348" i="3"/>
  <c r="G2348" i="3"/>
  <c r="F2348" i="3"/>
  <c r="D2348" i="3"/>
  <c r="A2348" i="3"/>
  <c r="H2347" i="3"/>
  <c r="G2347" i="3"/>
  <c r="F2347" i="3"/>
  <c r="D2347" i="3"/>
  <c r="A2347" i="3"/>
  <c r="H2346" i="3"/>
  <c r="G2346" i="3"/>
  <c r="F2346" i="3"/>
  <c r="D2346" i="3"/>
  <c r="A2346" i="3"/>
  <c r="J2345" i="3"/>
  <c r="H2345" i="3"/>
  <c r="G2345" i="3"/>
  <c r="F2345" i="3"/>
  <c r="D2345" i="3"/>
  <c r="A2345" i="3"/>
  <c r="J2344" i="3"/>
  <c r="H2344" i="3"/>
  <c r="G2344" i="3"/>
  <c r="F2344" i="3"/>
  <c r="D2344" i="3"/>
  <c r="A2344" i="3"/>
  <c r="J2343" i="3"/>
  <c r="H2343" i="3"/>
  <c r="G2343" i="3"/>
  <c r="F2343" i="3"/>
  <c r="D2343" i="3"/>
  <c r="A2343" i="3"/>
  <c r="J2342" i="3"/>
  <c r="H2342" i="3"/>
  <c r="G2342" i="3"/>
  <c r="F2342" i="3"/>
  <c r="D2342" i="3"/>
  <c r="A2342" i="3"/>
  <c r="H2341" i="3"/>
  <c r="G2341" i="3"/>
  <c r="F2341" i="3"/>
  <c r="D2341" i="3"/>
  <c r="A2341" i="3"/>
  <c r="H2340" i="3"/>
  <c r="G2340" i="3"/>
  <c r="F2340" i="3"/>
  <c r="D2340" i="3"/>
  <c r="A2340" i="3"/>
  <c r="H2339" i="3"/>
  <c r="G2339" i="3"/>
  <c r="F2339" i="3"/>
  <c r="D2339" i="3"/>
  <c r="A2339" i="3"/>
  <c r="H2338" i="3"/>
  <c r="G2338" i="3"/>
  <c r="F2338" i="3"/>
  <c r="D2338" i="3"/>
  <c r="A2338" i="3"/>
  <c r="J2337" i="3"/>
  <c r="H2337" i="3"/>
  <c r="G2337" i="3"/>
  <c r="F2337" i="3"/>
  <c r="D2337" i="3"/>
  <c r="A2337" i="3"/>
  <c r="H2336" i="3"/>
  <c r="G2336" i="3"/>
  <c r="F2336" i="3"/>
  <c r="D2336" i="3"/>
  <c r="A2336" i="3"/>
  <c r="H2335" i="3"/>
  <c r="G2335" i="3"/>
  <c r="F2335" i="3"/>
  <c r="D2335" i="3"/>
  <c r="A2335" i="3"/>
  <c r="H2334" i="3"/>
  <c r="G2334" i="3"/>
  <c r="F2334" i="3"/>
  <c r="D2334" i="3"/>
  <c r="A2334" i="3"/>
  <c r="H2333" i="3"/>
  <c r="G2333" i="3"/>
  <c r="F2333" i="3"/>
  <c r="D2333" i="3"/>
  <c r="A2333" i="3"/>
  <c r="H2332" i="3"/>
  <c r="G2332" i="3"/>
  <c r="F2332" i="3"/>
  <c r="D2332" i="3"/>
  <c r="A2332" i="3"/>
  <c r="H2331" i="3"/>
  <c r="G2331" i="3"/>
  <c r="F2331" i="3"/>
  <c r="D2331" i="3"/>
  <c r="A2331" i="3"/>
  <c r="H2330" i="3"/>
  <c r="G2330" i="3"/>
  <c r="F2330" i="3"/>
  <c r="D2330" i="3"/>
  <c r="A2330" i="3"/>
  <c r="H2329" i="3"/>
  <c r="G2329" i="3"/>
  <c r="F2329" i="3"/>
  <c r="D2329" i="3"/>
  <c r="A2329" i="3"/>
  <c r="H2328" i="3"/>
  <c r="G2328" i="3"/>
  <c r="F2328" i="3"/>
  <c r="D2328" i="3"/>
  <c r="A2328" i="3"/>
  <c r="H2327" i="3"/>
  <c r="G2327" i="3"/>
  <c r="F2327" i="3"/>
  <c r="D2327" i="3"/>
  <c r="A2327" i="3"/>
  <c r="H2326" i="3"/>
  <c r="G2326" i="3"/>
  <c r="F2326" i="3"/>
  <c r="D2326" i="3"/>
  <c r="A2326" i="3"/>
  <c r="H2325" i="3"/>
  <c r="G2325" i="3"/>
  <c r="F2325" i="3"/>
  <c r="D2325" i="3"/>
  <c r="A2325" i="3"/>
  <c r="H2324" i="3"/>
  <c r="G2324" i="3"/>
  <c r="F2324" i="3"/>
  <c r="D2324" i="3"/>
  <c r="A2324" i="3"/>
  <c r="H2323" i="3"/>
  <c r="G2323" i="3"/>
  <c r="F2323" i="3"/>
  <c r="D2323" i="3"/>
  <c r="A2323" i="3"/>
  <c r="H2322" i="3"/>
  <c r="G2322" i="3"/>
  <c r="F2322" i="3"/>
  <c r="D2322" i="3"/>
  <c r="A2322" i="3"/>
  <c r="H2321" i="3"/>
  <c r="G2321" i="3"/>
  <c r="F2321" i="3"/>
  <c r="D2321" i="3"/>
  <c r="A2321" i="3"/>
  <c r="H2320" i="3"/>
  <c r="G2320" i="3"/>
  <c r="F2320" i="3"/>
  <c r="D2320" i="3"/>
  <c r="A2320" i="3"/>
  <c r="H2319" i="3"/>
  <c r="G2319" i="3"/>
  <c r="F2319" i="3"/>
  <c r="D2319" i="3"/>
  <c r="A2319" i="3"/>
  <c r="H2318" i="3"/>
  <c r="G2318" i="3"/>
  <c r="F2318" i="3"/>
  <c r="D2318" i="3"/>
  <c r="A2318" i="3"/>
  <c r="H2317" i="3"/>
  <c r="G2317" i="3"/>
  <c r="F2317" i="3"/>
  <c r="D2317" i="3"/>
  <c r="A2317" i="3"/>
  <c r="H2316" i="3"/>
  <c r="G2316" i="3"/>
  <c r="F2316" i="3"/>
  <c r="D2316" i="3"/>
  <c r="A2316" i="3"/>
  <c r="H2315" i="3"/>
  <c r="G2315" i="3"/>
  <c r="F2315" i="3"/>
  <c r="D2315" i="3"/>
  <c r="A2315" i="3"/>
  <c r="H2314" i="3"/>
  <c r="G2314" i="3"/>
  <c r="F2314" i="3"/>
  <c r="D2314" i="3"/>
  <c r="A2314" i="3"/>
  <c r="H2313" i="3"/>
  <c r="G2313" i="3"/>
  <c r="F2313" i="3"/>
  <c r="D2313" i="3"/>
  <c r="A2313" i="3"/>
  <c r="H2312" i="3"/>
  <c r="G2312" i="3"/>
  <c r="F2312" i="3"/>
  <c r="D2312" i="3"/>
  <c r="A2312" i="3"/>
  <c r="H2311" i="3"/>
  <c r="G2311" i="3"/>
  <c r="F2311" i="3"/>
  <c r="D2311" i="3"/>
  <c r="A2311" i="3"/>
  <c r="J2310" i="3"/>
  <c r="H2310" i="3"/>
  <c r="G2310" i="3"/>
  <c r="F2310" i="3"/>
  <c r="D2310" i="3"/>
  <c r="A2310" i="3"/>
  <c r="J2309" i="3"/>
  <c r="H2309" i="3"/>
  <c r="G2309" i="3"/>
  <c r="F2309" i="3"/>
  <c r="D2309" i="3"/>
  <c r="A2309" i="3"/>
  <c r="H2308" i="3"/>
  <c r="G2308" i="3"/>
  <c r="F2308" i="3"/>
  <c r="D2308" i="3"/>
  <c r="A2308" i="3"/>
  <c r="H2307" i="3"/>
  <c r="G2307" i="3"/>
  <c r="F2307" i="3"/>
  <c r="D2307" i="3"/>
  <c r="A2307" i="3"/>
  <c r="H2306" i="3"/>
  <c r="G2306" i="3"/>
  <c r="F2306" i="3"/>
  <c r="D2306" i="3"/>
  <c r="A2306" i="3"/>
  <c r="H2305" i="3"/>
  <c r="G2305" i="3"/>
  <c r="F2305" i="3"/>
  <c r="D2305" i="3"/>
  <c r="A2305" i="3"/>
  <c r="H2304" i="3"/>
  <c r="G2304" i="3"/>
  <c r="F2304" i="3"/>
  <c r="D2304" i="3"/>
  <c r="A2304" i="3"/>
  <c r="H2303" i="3"/>
  <c r="G2303" i="3"/>
  <c r="F2303" i="3"/>
  <c r="D2303" i="3"/>
  <c r="A2303" i="3"/>
  <c r="H2302" i="3"/>
  <c r="G2302" i="3"/>
  <c r="F2302" i="3"/>
  <c r="D2302" i="3"/>
  <c r="A2302" i="3"/>
  <c r="H2301" i="3"/>
  <c r="G2301" i="3"/>
  <c r="F2301" i="3"/>
  <c r="D2301" i="3"/>
  <c r="A2301" i="3"/>
  <c r="H2300" i="3"/>
  <c r="G2300" i="3"/>
  <c r="F2300" i="3"/>
  <c r="D2300" i="3"/>
  <c r="A2300" i="3"/>
  <c r="H2299" i="3"/>
  <c r="G2299" i="3"/>
  <c r="F2299" i="3"/>
  <c r="D2299" i="3"/>
  <c r="A2299" i="3"/>
  <c r="H2298" i="3"/>
  <c r="G2298" i="3"/>
  <c r="F2298" i="3"/>
  <c r="D2298" i="3"/>
  <c r="A2298" i="3"/>
  <c r="H2297" i="3"/>
  <c r="G2297" i="3"/>
  <c r="F2297" i="3"/>
  <c r="D2297" i="3"/>
  <c r="A2297" i="3"/>
  <c r="H2296" i="3"/>
  <c r="G2296" i="3"/>
  <c r="F2296" i="3"/>
  <c r="D2296" i="3"/>
  <c r="A2296" i="3"/>
  <c r="H2295" i="3"/>
  <c r="G2295" i="3"/>
  <c r="F2295" i="3"/>
  <c r="D2295" i="3"/>
  <c r="A2295" i="3"/>
  <c r="H2294" i="3"/>
  <c r="G2294" i="3"/>
  <c r="F2294" i="3"/>
  <c r="D2294" i="3"/>
  <c r="A2294" i="3"/>
  <c r="H2293" i="3"/>
  <c r="G2293" i="3"/>
  <c r="F2293" i="3"/>
  <c r="D2293" i="3"/>
  <c r="A2293" i="3"/>
  <c r="H2292" i="3"/>
  <c r="G2292" i="3"/>
  <c r="F2292" i="3"/>
  <c r="D2292" i="3"/>
  <c r="A2292" i="3"/>
  <c r="H2291" i="3"/>
  <c r="G2291" i="3"/>
  <c r="F2291" i="3"/>
  <c r="D2291" i="3"/>
  <c r="A2291" i="3"/>
  <c r="H2290" i="3"/>
  <c r="G2290" i="3"/>
  <c r="F2290" i="3"/>
  <c r="D2290" i="3"/>
  <c r="A2290" i="3"/>
  <c r="H2289" i="3"/>
  <c r="G2289" i="3"/>
  <c r="F2289" i="3"/>
  <c r="D2289" i="3"/>
  <c r="A2289" i="3"/>
  <c r="H2288" i="3"/>
  <c r="G2288" i="3"/>
  <c r="F2288" i="3"/>
  <c r="D2288" i="3"/>
  <c r="A2288" i="3"/>
  <c r="H2287" i="3"/>
  <c r="G2287" i="3"/>
  <c r="F2287" i="3"/>
  <c r="D2287" i="3"/>
  <c r="A2287" i="3"/>
  <c r="H2286" i="3"/>
  <c r="G2286" i="3"/>
  <c r="F2286" i="3"/>
  <c r="D2286" i="3"/>
  <c r="A2286" i="3"/>
  <c r="H2285" i="3"/>
  <c r="G2285" i="3"/>
  <c r="F2285" i="3"/>
  <c r="D2285" i="3"/>
  <c r="A2285" i="3"/>
  <c r="H2284" i="3"/>
  <c r="G2284" i="3"/>
  <c r="F2284" i="3"/>
  <c r="D2284" i="3"/>
  <c r="A2284" i="3"/>
  <c r="H2283" i="3"/>
  <c r="G2283" i="3"/>
  <c r="F2283" i="3"/>
  <c r="D2283" i="3"/>
  <c r="A2283" i="3"/>
  <c r="H2282" i="3"/>
  <c r="G2282" i="3"/>
  <c r="F2282" i="3"/>
  <c r="D2282" i="3"/>
  <c r="A2282" i="3"/>
  <c r="J2281" i="3"/>
  <c r="H2281" i="3"/>
  <c r="G2281" i="3"/>
  <c r="F2281" i="3"/>
  <c r="D2281" i="3"/>
  <c r="A2281" i="3"/>
  <c r="H2280" i="3"/>
  <c r="G2280" i="3"/>
  <c r="F2280" i="3"/>
  <c r="D2280" i="3"/>
  <c r="A2280" i="3"/>
  <c r="H2279" i="3"/>
  <c r="G2279" i="3"/>
  <c r="F2279" i="3"/>
  <c r="D2279" i="3"/>
  <c r="A2279" i="3"/>
  <c r="H2278" i="3"/>
  <c r="G2278" i="3"/>
  <c r="F2278" i="3"/>
  <c r="D2278" i="3"/>
  <c r="A2278" i="3"/>
  <c r="H2277" i="3"/>
  <c r="G2277" i="3"/>
  <c r="F2277" i="3"/>
  <c r="D2277" i="3"/>
  <c r="A2277" i="3"/>
  <c r="H2276" i="3"/>
  <c r="G2276" i="3"/>
  <c r="F2276" i="3"/>
  <c r="D2276" i="3"/>
  <c r="A2276" i="3"/>
  <c r="H2275" i="3"/>
  <c r="G2275" i="3"/>
  <c r="F2275" i="3"/>
  <c r="D2275" i="3"/>
  <c r="A2275" i="3"/>
  <c r="J2274" i="3"/>
  <c r="H2274" i="3"/>
  <c r="G2274" i="3"/>
  <c r="F2274" i="3"/>
  <c r="D2274" i="3"/>
  <c r="A2274" i="3"/>
  <c r="H2273" i="3"/>
  <c r="G2273" i="3"/>
  <c r="F2273" i="3"/>
  <c r="D2273" i="3"/>
  <c r="A2273" i="3"/>
  <c r="H2272" i="3"/>
  <c r="G2272" i="3"/>
  <c r="F2272" i="3"/>
  <c r="D2272" i="3"/>
  <c r="A2272" i="3"/>
  <c r="H2271" i="3"/>
  <c r="G2271" i="3"/>
  <c r="F2271" i="3"/>
  <c r="D2271" i="3"/>
  <c r="A2271" i="3"/>
  <c r="H2270" i="3"/>
  <c r="G2270" i="3"/>
  <c r="F2270" i="3"/>
  <c r="D2270" i="3"/>
  <c r="A2270" i="3"/>
  <c r="H2269" i="3"/>
  <c r="G2269" i="3"/>
  <c r="F2269" i="3"/>
  <c r="D2269" i="3"/>
  <c r="A2269" i="3"/>
  <c r="H2268" i="3"/>
  <c r="G2268" i="3"/>
  <c r="F2268" i="3"/>
  <c r="D2268" i="3"/>
  <c r="A2268" i="3"/>
  <c r="H2267" i="3"/>
  <c r="G2267" i="3"/>
  <c r="F2267" i="3"/>
  <c r="D2267" i="3"/>
  <c r="A2267" i="3"/>
  <c r="H2266" i="3"/>
  <c r="G2266" i="3"/>
  <c r="F2266" i="3"/>
  <c r="D2266" i="3"/>
  <c r="A2266" i="3"/>
  <c r="H2265" i="3"/>
  <c r="G2265" i="3"/>
  <c r="F2265" i="3"/>
  <c r="D2265" i="3"/>
  <c r="A2265" i="3"/>
  <c r="H2264" i="3"/>
  <c r="G2264" i="3"/>
  <c r="F2264" i="3"/>
  <c r="D2264" i="3"/>
  <c r="A2264" i="3"/>
  <c r="H2263" i="3"/>
  <c r="G2263" i="3"/>
  <c r="F2263" i="3"/>
  <c r="D2263" i="3"/>
  <c r="A2263" i="3"/>
  <c r="H2262" i="3"/>
  <c r="G2262" i="3"/>
  <c r="F2262" i="3"/>
  <c r="D2262" i="3"/>
  <c r="A2262" i="3"/>
  <c r="H2261" i="3"/>
  <c r="G2261" i="3"/>
  <c r="F2261" i="3"/>
  <c r="D2261" i="3"/>
  <c r="A2261" i="3"/>
  <c r="H2260" i="3"/>
  <c r="G2260" i="3"/>
  <c r="F2260" i="3"/>
  <c r="D2260" i="3"/>
  <c r="A2260" i="3"/>
  <c r="H2259" i="3"/>
  <c r="G2259" i="3"/>
  <c r="F2259" i="3"/>
  <c r="D2259" i="3"/>
  <c r="A2259" i="3"/>
  <c r="H2258" i="3"/>
  <c r="G2258" i="3"/>
  <c r="F2258" i="3"/>
  <c r="D2258" i="3"/>
  <c r="A2258" i="3"/>
  <c r="H2257" i="3"/>
  <c r="G2257" i="3"/>
  <c r="F2257" i="3"/>
  <c r="D2257" i="3"/>
  <c r="A2257" i="3"/>
  <c r="H2256" i="3"/>
  <c r="G2256" i="3"/>
  <c r="F2256" i="3"/>
  <c r="D2256" i="3"/>
  <c r="A2256" i="3"/>
  <c r="H2255" i="3"/>
  <c r="G2255" i="3"/>
  <c r="F2255" i="3"/>
  <c r="D2255" i="3"/>
  <c r="A2255" i="3"/>
  <c r="H2254" i="3"/>
  <c r="G2254" i="3"/>
  <c r="F2254" i="3"/>
  <c r="D2254" i="3"/>
  <c r="A2254" i="3"/>
  <c r="H2253" i="3"/>
  <c r="G2253" i="3"/>
  <c r="F2253" i="3"/>
  <c r="D2253" i="3"/>
  <c r="A2253" i="3"/>
  <c r="H2252" i="3"/>
  <c r="G2252" i="3"/>
  <c r="F2252" i="3"/>
  <c r="D2252" i="3"/>
  <c r="A2252" i="3"/>
  <c r="J2251" i="3"/>
  <c r="H2251" i="3"/>
  <c r="G2251" i="3"/>
  <c r="F2251" i="3"/>
  <c r="D2251" i="3"/>
  <c r="A2251" i="3"/>
  <c r="H2250" i="3"/>
  <c r="G2250" i="3"/>
  <c r="F2250" i="3"/>
  <c r="D2250" i="3"/>
  <c r="A2250" i="3"/>
  <c r="H2249" i="3"/>
  <c r="G2249" i="3"/>
  <c r="F2249" i="3"/>
  <c r="D2249" i="3"/>
  <c r="A2249" i="3"/>
  <c r="H2248" i="3"/>
  <c r="G2248" i="3"/>
  <c r="F2248" i="3"/>
  <c r="D2248" i="3"/>
  <c r="A2248" i="3"/>
  <c r="H2247" i="3"/>
  <c r="G2247" i="3"/>
  <c r="F2247" i="3"/>
  <c r="D2247" i="3"/>
  <c r="A2247" i="3"/>
  <c r="H2246" i="3"/>
  <c r="G2246" i="3"/>
  <c r="F2246" i="3"/>
  <c r="D2246" i="3"/>
  <c r="A2246" i="3"/>
  <c r="H2245" i="3"/>
  <c r="G2245" i="3"/>
  <c r="F2245" i="3"/>
  <c r="D2245" i="3"/>
  <c r="A2245" i="3"/>
  <c r="H2244" i="3"/>
  <c r="G2244" i="3"/>
  <c r="F2244" i="3"/>
  <c r="D2244" i="3"/>
  <c r="A2244" i="3"/>
  <c r="H2243" i="3"/>
  <c r="G2243" i="3"/>
  <c r="F2243" i="3"/>
  <c r="D2243" i="3"/>
  <c r="A2243" i="3"/>
  <c r="H2242" i="3"/>
  <c r="G2242" i="3"/>
  <c r="F2242" i="3"/>
  <c r="D2242" i="3"/>
  <c r="A2242" i="3"/>
  <c r="H2241" i="3"/>
  <c r="G2241" i="3"/>
  <c r="F2241" i="3"/>
  <c r="D2241" i="3"/>
  <c r="A2241" i="3"/>
  <c r="H2240" i="3"/>
  <c r="G2240" i="3"/>
  <c r="F2240" i="3"/>
  <c r="D2240" i="3"/>
  <c r="A2240" i="3"/>
  <c r="H2239" i="3"/>
  <c r="G2239" i="3"/>
  <c r="F2239" i="3"/>
  <c r="D2239" i="3"/>
  <c r="A2239" i="3"/>
  <c r="H2238" i="3"/>
  <c r="G2238" i="3"/>
  <c r="F2238" i="3"/>
  <c r="D2238" i="3"/>
  <c r="A2238" i="3"/>
  <c r="H2237" i="3"/>
  <c r="G2237" i="3"/>
  <c r="F2237" i="3"/>
  <c r="D2237" i="3"/>
  <c r="A2237" i="3"/>
  <c r="H2236" i="3"/>
  <c r="G2236" i="3"/>
  <c r="F2236" i="3"/>
  <c r="D2236" i="3"/>
  <c r="A2236" i="3"/>
  <c r="H2235" i="3"/>
  <c r="G2235" i="3"/>
  <c r="F2235" i="3"/>
  <c r="D2235" i="3"/>
  <c r="A2235" i="3"/>
  <c r="H2234" i="3"/>
  <c r="G2234" i="3"/>
  <c r="F2234" i="3"/>
  <c r="D2234" i="3"/>
  <c r="A2234" i="3"/>
  <c r="H2233" i="3"/>
  <c r="G2233" i="3"/>
  <c r="F2233" i="3"/>
  <c r="D2233" i="3"/>
  <c r="A2233" i="3"/>
  <c r="H2232" i="3"/>
  <c r="G2232" i="3"/>
  <c r="F2232" i="3"/>
  <c r="D2232" i="3"/>
  <c r="A2232" i="3"/>
  <c r="H2231" i="3"/>
  <c r="G2231" i="3"/>
  <c r="F2231" i="3"/>
  <c r="D2231" i="3"/>
  <c r="A2231" i="3"/>
  <c r="H2230" i="3"/>
  <c r="G2230" i="3"/>
  <c r="F2230" i="3"/>
  <c r="D2230" i="3"/>
  <c r="A2230" i="3"/>
  <c r="H2229" i="3"/>
  <c r="G2229" i="3"/>
  <c r="F2229" i="3"/>
  <c r="D2229" i="3"/>
  <c r="A2229" i="3"/>
  <c r="H2228" i="3"/>
  <c r="G2228" i="3"/>
  <c r="F2228" i="3"/>
  <c r="D2228" i="3"/>
  <c r="A2228" i="3"/>
  <c r="H2227" i="3"/>
  <c r="G2227" i="3"/>
  <c r="F2227" i="3"/>
  <c r="D2227" i="3"/>
  <c r="A2227" i="3"/>
  <c r="H2226" i="3"/>
  <c r="G2226" i="3"/>
  <c r="F2226" i="3"/>
  <c r="D2226" i="3"/>
  <c r="A2226" i="3"/>
  <c r="H2225" i="3"/>
  <c r="G2225" i="3"/>
  <c r="F2225" i="3"/>
  <c r="D2225" i="3"/>
  <c r="A2225" i="3"/>
  <c r="H2224" i="3"/>
  <c r="G2224" i="3"/>
  <c r="F2224" i="3"/>
  <c r="D2224" i="3"/>
  <c r="A2224" i="3"/>
  <c r="H2223" i="3"/>
  <c r="G2223" i="3"/>
  <c r="F2223" i="3"/>
  <c r="D2223" i="3"/>
  <c r="A2223" i="3"/>
  <c r="J2222" i="3"/>
  <c r="H2222" i="3"/>
  <c r="G2222" i="3"/>
  <c r="F2222" i="3"/>
  <c r="D2222" i="3"/>
  <c r="A2222" i="3"/>
  <c r="H2221" i="3"/>
  <c r="G2221" i="3"/>
  <c r="F2221" i="3"/>
  <c r="D2221" i="3"/>
  <c r="A2221" i="3"/>
  <c r="H2220" i="3"/>
  <c r="G2220" i="3"/>
  <c r="F2220" i="3"/>
  <c r="D2220" i="3"/>
  <c r="A2220" i="3"/>
  <c r="H2219" i="3"/>
  <c r="G2219" i="3"/>
  <c r="F2219" i="3"/>
  <c r="D2219" i="3"/>
  <c r="A2219" i="3"/>
  <c r="H2218" i="3"/>
  <c r="G2218" i="3"/>
  <c r="F2218" i="3"/>
  <c r="D2218" i="3"/>
  <c r="A2218" i="3"/>
  <c r="H2217" i="3"/>
  <c r="G2217" i="3"/>
  <c r="F2217" i="3"/>
  <c r="D2217" i="3"/>
  <c r="A2217" i="3"/>
  <c r="J2216" i="3"/>
  <c r="H2216" i="3"/>
  <c r="G2216" i="3"/>
  <c r="F2216" i="3"/>
  <c r="D2216" i="3"/>
  <c r="A2216" i="3"/>
  <c r="H2215" i="3"/>
  <c r="G2215" i="3"/>
  <c r="F2215" i="3"/>
  <c r="D2215" i="3"/>
  <c r="A2215" i="3"/>
  <c r="H2214" i="3"/>
  <c r="G2214" i="3"/>
  <c r="F2214" i="3"/>
  <c r="D2214" i="3"/>
  <c r="A2214" i="3"/>
  <c r="H2213" i="3"/>
  <c r="G2213" i="3"/>
  <c r="F2213" i="3"/>
  <c r="D2213" i="3"/>
  <c r="A2213" i="3"/>
  <c r="H2212" i="3"/>
  <c r="G2212" i="3"/>
  <c r="F2212" i="3"/>
  <c r="D2212" i="3"/>
  <c r="A2212" i="3"/>
  <c r="H2211" i="3"/>
  <c r="G2211" i="3"/>
  <c r="F2211" i="3"/>
  <c r="D2211" i="3"/>
  <c r="A2211" i="3"/>
  <c r="H2210" i="3"/>
  <c r="G2210" i="3"/>
  <c r="F2210" i="3"/>
  <c r="D2210" i="3"/>
  <c r="A2210" i="3"/>
  <c r="H2209" i="3"/>
  <c r="G2209" i="3"/>
  <c r="F2209" i="3"/>
  <c r="D2209" i="3"/>
  <c r="A2209" i="3"/>
  <c r="H2208" i="3"/>
  <c r="G2208" i="3"/>
  <c r="F2208" i="3"/>
  <c r="D2208" i="3"/>
  <c r="A2208" i="3"/>
  <c r="H2207" i="3"/>
  <c r="G2207" i="3"/>
  <c r="F2207" i="3"/>
  <c r="D2207" i="3"/>
  <c r="A2207" i="3"/>
  <c r="H2206" i="3"/>
  <c r="G2206" i="3"/>
  <c r="F2206" i="3"/>
  <c r="D2206" i="3"/>
  <c r="A2206" i="3"/>
  <c r="H2205" i="3"/>
  <c r="G2205" i="3"/>
  <c r="F2205" i="3"/>
  <c r="D2205" i="3"/>
  <c r="A2205" i="3"/>
  <c r="H2204" i="3"/>
  <c r="G2204" i="3"/>
  <c r="F2204" i="3"/>
  <c r="D2204" i="3"/>
  <c r="A2204" i="3"/>
  <c r="H2203" i="3"/>
  <c r="G2203" i="3"/>
  <c r="F2203" i="3"/>
  <c r="D2203" i="3"/>
  <c r="A2203" i="3"/>
  <c r="H2202" i="3"/>
  <c r="G2202" i="3"/>
  <c r="F2202" i="3"/>
  <c r="D2202" i="3"/>
  <c r="A2202" i="3"/>
  <c r="H2201" i="3"/>
  <c r="G2201" i="3"/>
  <c r="F2201" i="3"/>
  <c r="D2201" i="3"/>
  <c r="A2201" i="3"/>
  <c r="H2200" i="3"/>
  <c r="G2200" i="3"/>
  <c r="F2200" i="3"/>
  <c r="D2200" i="3"/>
  <c r="A2200" i="3"/>
  <c r="J2199" i="3"/>
  <c r="H2199" i="3"/>
  <c r="G2199" i="3"/>
  <c r="F2199" i="3"/>
  <c r="D2199" i="3"/>
  <c r="A2199" i="3"/>
  <c r="H2198" i="3"/>
  <c r="G2198" i="3"/>
  <c r="F2198" i="3"/>
  <c r="D2198" i="3"/>
  <c r="A2198" i="3"/>
  <c r="H2197" i="3"/>
  <c r="G2197" i="3"/>
  <c r="F2197" i="3"/>
  <c r="D2197" i="3"/>
  <c r="A2197" i="3"/>
  <c r="H2196" i="3"/>
  <c r="G2196" i="3"/>
  <c r="F2196" i="3"/>
  <c r="D2196" i="3"/>
  <c r="A2196" i="3"/>
  <c r="H2195" i="3"/>
  <c r="G2195" i="3"/>
  <c r="F2195" i="3"/>
  <c r="D2195" i="3"/>
  <c r="A2195" i="3"/>
  <c r="H2194" i="3"/>
  <c r="G2194" i="3"/>
  <c r="F2194" i="3"/>
  <c r="D2194" i="3"/>
  <c r="A2194" i="3"/>
  <c r="H2193" i="3"/>
  <c r="G2193" i="3"/>
  <c r="F2193" i="3"/>
  <c r="D2193" i="3"/>
  <c r="A2193" i="3"/>
  <c r="H2192" i="3"/>
  <c r="G2192" i="3"/>
  <c r="F2192" i="3"/>
  <c r="D2192" i="3"/>
  <c r="A2192" i="3"/>
  <c r="H2191" i="3"/>
  <c r="G2191" i="3"/>
  <c r="F2191" i="3"/>
  <c r="D2191" i="3"/>
  <c r="A2191" i="3"/>
  <c r="H2190" i="3"/>
  <c r="G2190" i="3"/>
  <c r="D2190" i="3"/>
  <c r="A2190" i="3"/>
  <c r="H2189" i="3"/>
  <c r="G2189" i="3"/>
  <c r="D2189" i="3"/>
  <c r="A2189" i="3"/>
  <c r="H2188" i="3"/>
  <c r="G2188" i="3"/>
  <c r="D2188" i="3"/>
  <c r="A2188" i="3"/>
  <c r="H2187" i="3"/>
  <c r="G2187" i="3"/>
  <c r="D2187" i="3"/>
  <c r="A2187" i="3"/>
  <c r="H2186" i="3"/>
  <c r="G2186" i="3"/>
  <c r="D2186" i="3"/>
  <c r="A2186" i="3"/>
  <c r="H2185" i="3"/>
  <c r="G2185" i="3"/>
  <c r="D2185" i="3"/>
  <c r="A2185" i="3"/>
  <c r="H2184" i="3"/>
  <c r="G2184" i="3"/>
  <c r="D2184" i="3"/>
  <c r="A2184" i="3"/>
  <c r="H2183" i="3"/>
  <c r="G2183" i="3"/>
  <c r="D2183" i="3"/>
  <c r="A2183" i="3"/>
  <c r="H2182" i="3"/>
  <c r="G2182" i="3"/>
  <c r="D2182" i="3"/>
  <c r="A2182" i="3"/>
  <c r="H2181" i="3"/>
  <c r="G2181" i="3"/>
  <c r="D2181" i="3"/>
  <c r="A2181" i="3"/>
  <c r="H2180" i="3"/>
  <c r="G2180" i="3"/>
  <c r="D2180" i="3"/>
  <c r="A2180" i="3"/>
  <c r="H2179" i="3"/>
  <c r="G2179" i="3"/>
  <c r="D2179" i="3"/>
  <c r="A2179" i="3"/>
  <c r="H2178" i="3"/>
  <c r="G2178" i="3"/>
  <c r="D2178" i="3"/>
  <c r="A2178" i="3"/>
  <c r="H2177" i="3"/>
  <c r="G2177" i="3"/>
  <c r="D2177" i="3"/>
  <c r="A2177" i="3"/>
  <c r="H2176" i="3"/>
  <c r="G2176" i="3"/>
  <c r="D2176" i="3"/>
  <c r="A2176" i="3"/>
  <c r="H2175" i="3"/>
  <c r="G2175" i="3"/>
  <c r="D2175" i="3"/>
  <c r="A2175" i="3"/>
  <c r="H2174" i="3"/>
  <c r="G2174" i="3"/>
  <c r="D2174" i="3"/>
  <c r="A2174" i="3"/>
  <c r="H2173" i="3"/>
  <c r="G2173" i="3"/>
  <c r="D2173" i="3"/>
  <c r="A2173" i="3"/>
  <c r="H2172" i="3"/>
  <c r="G2172" i="3"/>
  <c r="D2172" i="3"/>
  <c r="A2172" i="3"/>
  <c r="H2171" i="3"/>
  <c r="G2171" i="3"/>
  <c r="D2171" i="3"/>
  <c r="A2171" i="3"/>
  <c r="H2170" i="3"/>
  <c r="G2170" i="3"/>
  <c r="D2170" i="3"/>
  <c r="A2170" i="3"/>
  <c r="H2169" i="3"/>
  <c r="G2169" i="3"/>
  <c r="D2169" i="3"/>
  <c r="A2169" i="3"/>
  <c r="H2168" i="3"/>
  <c r="G2168" i="3"/>
  <c r="D2168" i="3"/>
  <c r="A2168" i="3"/>
  <c r="H2167" i="3"/>
  <c r="G2167" i="3"/>
  <c r="D2167" i="3"/>
  <c r="A2167" i="3"/>
  <c r="H2166" i="3"/>
  <c r="G2166" i="3"/>
  <c r="D2166" i="3"/>
  <c r="A2166" i="3"/>
  <c r="H2165" i="3"/>
  <c r="G2165" i="3"/>
  <c r="D2165" i="3"/>
  <c r="A2165" i="3"/>
  <c r="H2164" i="3"/>
  <c r="G2164" i="3"/>
  <c r="D2164" i="3"/>
  <c r="A2164" i="3"/>
  <c r="H2163" i="3"/>
  <c r="G2163" i="3"/>
  <c r="D2163" i="3"/>
  <c r="A2163" i="3"/>
  <c r="H2162" i="3"/>
  <c r="G2162" i="3"/>
  <c r="D2162" i="3"/>
  <c r="A2162" i="3"/>
  <c r="H2161" i="3"/>
  <c r="G2161" i="3"/>
  <c r="D2161" i="3"/>
  <c r="A2161" i="3"/>
  <c r="H2160" i="3"/>
  <c r="G2160" i="3"/>
  <c r="D2160" i="3"/>
  <c r="A2160" i="3"/>
  <c r="H2159" i="3"/>
  <c r="G2159" i="3"/>
  <c r="D2159" i="3"/>
  <c r="A2159" i="3"/>
  <c r="H2158" i="3"/>
  <c r="G2158" i="3"/>
  <c r="D2158" i="3"/>
  <c r="A2158" i="3"/>
  <c r="H2157" i="3"/>
  <c r="G2157" i="3"/>
  <c r="D2157" i="3"/>
  <c r="A2157" i="3"/>
  <c r="H2156" i="3"/>
  <c r="G2156" i="3"/>
  <c r="D2156" i="3"/>
  <c r="A2156" i="3"/>
  <c r="H2155" i="3"/>
  <c r="G2155" i="3"/>
  <c r="D2155" i="3"/>
  <c r="A2155" i="3"/>
  <c r="H2154" i="3"/>
  <c r="G2154" i="3"/>
  <c r="D2154" i="3"/>
  <c r="A2154" i="3"/>
  <c r="H2153" i="3"/>
  <c r="G2153" i="3"/>
  <c r="D2153" i="3"/>
  <c r="A2153" i="3"/>
  <c r="H2152" i="3"/>
  <c r="G2152" i="3"/>
  <c r="D2152" i="3"/>
  <c r="A2152" i="3"/>
  <c r="H2151" i="3"/>
  <c r="G2151" i="3"/>
  <c r="D2151" i="3"/>
  <c r="A2151" i="3"/>
  <c r="H2150" i="3"/>
  <c r="G2150" i="3"/>
  <c r="D2150" i="3"/>
  <c r="A2150" i="3"/>
  <c r="H2149" i="3"/>
  <c r="G2149" i="3"/>
  <c r="D2149" i="3"/>
  <c r="A2149" i="3"/>
  <c r="H2148" i="3"/>
  <c r="G2148" i="3"/>
  <c r="D2148" i="3"/>
  <c r="A2148" i="3"/>
  <c r="H2147" i="3"/>
  <c r="G2147" i="3"/>
  <c r="D2147" i="3"/>
  <c r="A2147" i="3"/>
  <c r="H2146" i="3"/>
  <c r="G2146" i="3"/>
  <c r="D2146" i="3"/>
  <c r="A2146" i="3"/>
  <c r="H2145" i="3"/>
  <c r="G2145" i="3"/>
  <c r="D2145" i="3"/>
  <c r="A2145" i="3"/>
  <c r="H2144" i="3"/>
  <c r="G2144" i="3"/>
  <c r="D2144" i="3"/>
  <c r="A2144" i="3"/>
  <c r="H2143" i="3"/>
  <c r="G2143" i="3"/>
  <c r="D2143" i="3"/>
  <c r="A2143" i="3"/>
  <c r="H2142" i="3"/>
  <c r="G2142" i="3"/>
  <c r="D2142" i="3"/>
  <c r="A2142" i="3"/>
  <c r="H2141" i="3"/>
  <c r="G2141" i="3"/>
  <c r="D2141" i="3"/>
  <c r="A2141" i="3"/>
  <c r="H2140" i="3"/>
  <c r="G2140" i="3"/>
  <c r="D2140" i="3"/>
  <c r="A2140" i="3"/>
  <c r="H2139" i="3"/>
  <c r="G2139" i="3"/>
  <c r="D2139" i="3"/>
  <c r="A2139" i="3"/>
  <c r="H2138" i="3"/>
  <c r="G2138" i="3"/>
  <c r="D2138" i="3"/>
  <c r="A2138" i="3"/>
  <c r="H2137" i="3"/>
  <c r="G2137" i="3"/>
  <c r="D2137" i="3"/>
  <c r="A2137" i="3"/>
  <c r="H2136" i="3"/>
  <c r="G2136" i="3"/>
  <c r="D2136" i="3"/>
  <c r="A2136" i="3"/>
  <c r="H2135" i="3"/>
  <c r="G2135" i="3"/>
  <c r="D2135" i="3"/>
  <c r="A2135" i="3"/>
  <c r="H2134" i="3"/>
  <c r="G2134" i="3"/>
  <c r="D2134" i="3"/>
  <c r="A2134" i="3"/>
  <c r="H2133" i="3"/>
  <c r="G2133" i="3"/>
  <c r="D2133" i="3"/>
  <c r="A2133" i="3"/>
  <c r="H2132" i="3"/>
  <c r="G2132" i="3"/>
  <c r="D2132" i="3"/>
  <c r="A2132" i="3"/>
  <c r="H2131" i="3"/>
  <c r="G2131" i="3"/>
  <c r="D2131" i="3"/>
  <c r="A2131" i="3"/>
  <c r="H2130" i="3"/>
  <c r="G2130" i="3"/>
  <c r="D2130" i="3"/>
  <c r="A2130" i="3"/>
  <c r="H2129" i="3"/>
  <c r="G2129" i="3"/>
  <c r="D2129" i="3"/>
  <c r="A2129" i="3"/>
  <c r="H2128" i="3"/>
  <c r="G2128" i="3"/>
  <c r="D2128" i="3"/>
  <c r="A2128" i="3"/>
  <c r="H2127" i="3"/>
  <c r="G2127" i="3"/>
  <c r="D2127" i="3"/>
  <c r="A2127" i="3"/>
  <c r="H2126" i="3"/>
  <c r="G2126" i="3"/>
  <c r="D2126" i="3"/>
  <c r="A2126" i="3"/>
  <c r="H2125" i="3"/>
  <c r="G2125" i="3"/>
  <c r="D2125" i="3"/>
  <c r="A2125" i="3"/>
  <c r="H2124" i="3"/>
  <c r="G2124" i="3"/>
  <c r="D2124" i="3"/>
  <c r="A2124" i="3"/>
  <c r="H2123" i="3"/>
  <c r="G2123" i="3"/>
  <c r="D2123" i="3"/>
  <c r="A2123" i="3"/>
  <c r="H2122" i="3"/>
  <c r="G2122" i="3"/>
  <c r="D2122" i="3"/>
  <c r="A2122" i="3"/>
  <c r="H2121" i="3"/>
  <c r="G2121" i="3"/>
  <c r="D2121" i="3"/>
  <c r="A2121" i="3"/>
  <c r="H2120" i="3"/>
  <c r="G2120" i="3"/>
  <c r="D2120" i="3"/>
  <c r="A2120" i="3"/>
  <c r="H2119" i="3"/>
  <c r="G2119" i="3"/>
  <c r="D2119" i="3"/>
  <c r="A2119" i="3"/>
  <c r="H2118" i="3"/>
  <c r="G2118" i="3"/>
  <c r="D2118" i="3"/>
  <c r="A2118" i="3"/>
  <c r="H2117" i="3"/>
  <c r="G2117" i="3"/>
  <c r="D2117" i="3"/>
  <c r="A2117" i="3"/>
  <c r="H2116" i="3"/>
  <c r="G2116" i="3"/>
  <c r="D2116" i="3"/>
  <c r="A2116" i="3"/>
  <c r="H2115" i="3"/>
  <c r="G2115" i="3"/>
  <c r="D2115" i="3"/>
  <c r="A2115" i="3"/>
  <c r="H2114" i="3"/>
  <c r="G2114" i="3"/>
  <c r="D2114" i="3"/>
  <c r="A2114" i="3"/>
  <c r="H2113" i="3"/>
  <c r="G2113" i="3"/>
  <c r="D2113" i="3"/>
  <c r="A2113" i="3"/>
  <c r="H2112" i="3"/>
  <c r="G2112" i="3"/>
  <c r="D2112" i="3"/>
  <c r="A2112" i="3"/>
  <c r="H2111" i="3"/>
  <c r="G2111" i="3"/>
  <c r="D2111" i="3"/>
  <c r="A2111" i="3"/>
  <c r="H2110" i="3"/>
  <c r="G2110" i="3"/>
  <c r="D2110" i="3"/>
  <c r="A2110" i="3"/>
  <c r="H2109" i="3"/>
  <c r="G2109" i="3"/>
  <c r="D2109" i="3"/>
  <c r="A2109" i="3"/>
  <c r="H2108" i="3"/>
  <c r="G2108" i="3"/>
  <c r="D2108" i="3"/>
  <c r="A2108" i="3"/>
  <c r="H2107" i="3"/>
  <c r="G2107" i="3"/>
  <c r="D2107" i="3"/>
  <c r="A2107" i="3"/>
  <c r="H2106" i="3"/>
  <c r="G2106" i="3"/>
  <c r="F2106" i="3"/>
  <c r="D2106" i="3"/>
  <c r="A2106" i="3"/>
  <c r="H2105" i="3"/>
  <c r="G2105" i="3"/>
  <c r="F2105" i="3"/>
  <c r="D2105" i="3"/>
  <c r="A2105" i="3"/>
  <c r="H2104" i="3"/>
  <c r="G2104" i="3"/>
  <c r="F2104" i="3"/>
  <c r="D2104" i="3"/>
  <c r="A2104" i="3"/>
  <c r="J2103" i="3"/>
  <c r="H2103" i="3"/>
  <c r="G2103" i="3"/>
  <c r="F2103" i="3"/>
  <c r="D2103" i="3"/>
  <c r="A2103" i="3"/>
  <c r="H2102" i="3"/>
  <c r="G2102" i="3"/>
  <c r="D2102" i="3"/>
  <c r="A2102" i="3"/>
  <c r="H2101" i="3"/>
  <c r="G2101" i="3"/>
  <c r="D2101" i="3"/>
  <c r="A2101" i="3"/>
  <c r="H2100" i="3"/>
  <c r="G2100" i="3"/>
  <c r="D2100" i="3"/>
  <c r="A2100" i="3"/>
  <c r="H2099" i="3"/>
  <c r="G2099" i="3"/>
  <c r="D2099" i="3"/>
  <c r="A2099" i="3"/>
  <c r="H2098" i="3"/>
  <c r="G2098" i="3"/>
  <c r="D2098" i="3"/>
  <c r="A2098" i="3"/>
  <c r="H2097" i="3"/>
  <c r="G2097" i="3"/>
  <c r="D2097" i="3"/>
  <c r="A2097" i="3"/>
  <c r="H2096" i="3"/>
  <c r="G2096" i="3"/>
  <c r="D2096" i="3"/>
  <c r="A2096" i="3"/>
  <c r="H2095" i="3"/>
  <c r="G2095" i="3"/>
  <c r="D2095" i="3"/>
  <c r="A2095" i="3"/>
  <c r="H2094" i="3"/>
  <c r="G2094" i="3"/>
  <c r="D2094" i="3"/>
  <c r="A2094" i="3"/>
  <c r="H2093" i="3"/>
  <c r="G2093" i="3"/>
  <c r="D2093" i="3"/>
  <c r="A2093" i="3"/>
  <c r="H2092" i="3"/>
  <c r="G2092" i="3"/>
  <c r="D2092" i="3"/>
  <c r="A2092" i="3"/>
  <c r="H2091" i="3"/>
  <c r="G2091" i="3"/>
  <c r="D2091" i="3"/>
  <c r="A2091" i="3"/>
  <c r="H2090" i="3"/>
  <c r="G2090" i="3"/>
  <c r="D2090" i="3"/>
  <c r="A2090" i="3"/>
  <c r="H2089" i="3"/>
  <c r="G2089" i="3"/>
  <c r="D2089" i="3"/>
  <c r="A2089" i="3"/>
  <c r="H2088" i="3"/>
  <c r="G2088" i="3"/>
  <c r="D2088" i="3"/>
  <c r="A2088" i="3"/>
  <c r="H2087" i="3"/>
  <c r="G2087" i="3"/>
  <c r="D2087" i="3"/>
  <c r="A2087" i="3"/>
  <c r="H2086" i="3"/>
  <c r="G2086" i="3"/>
  <c r="D2086" i="3"/>
  <c r="A2086" i="3"/>
  <c r="H2085" i="3"/>
  <c r="G2085" i="3"/>
  <c r="D2085" i="3"/>
  <c r="A2085" i="3"/>
  <c r="H2084" i="3"/>
  <c r="G2084" i="3"/>
  <c r="D2084" i="3"/>
  <c r="A2084" i="3"/>
  <c r="H2083" i="3"/>
  <c r="G2083" i="3"/>
  <c r="D2083" i="3"/>
  <c r="A2083" i="3"/>
  <c r="H2082" i="3"/>
  <c r="G2082" i="3"/>
  <c r="D2082" i="3"/>
  <c r="A2082" i="3"/>
  <c r="H2081" i="3"/>
  <c r="G2081" i="3"/>
  <c r="D2081" i="3"/>
  <c r="A2081" i="3"/>
  <c r="H2080" i="3"/>
  <c r="G2080" i="3"/>
  <c r="D2080" i="3"/>
  <c r="A2080" i="3"/>
  <c r="H2079" i="3"/>
  <c r="G2079" i="3"/>
  <c r="F2079" i="3"/>
  <c r="D2079" i="3"/>
  <c r="A2079" i="3"/>
  <c r="H2078" i="3"/>
  <c r="G2078" i="3"/>
  <c r="F2078" i="3"/>
  <c r="D2078" i="3"/>
  <c r="A2078" i="3"/>
  <c r="H2077" i="3"/>
  <c r="G2077" i="3"/>
  <c r="F2077" i="3"/>
  <c r="D2077" i="3"/>
  <c r="A2077" i="3"/>
  <c r="H2076" i="3"/>
  <c r="G2076" i="3"/>
  <c r="F2076" i="3"/>
  <c r="D2076" i="3"/>
  <c r="A2076" i="3"/>
  <c r="H2075" i="3"/>
  <c r="G2075" i="3"/>
  <c r="F2075" i="3"/>
  <c r="D2075" i="3"/>
  <c r="A2075" i="3"/>
  <c r="J2074" i="3"/>
  <c r="H2074" i="3"/>
  <c r="G2074" i="3"/>
  <c r="F2074" i="3"/>
  <c r="D2074" i="3"/>
  <c r="A2074" i="3"/>
  <c r="H2073" i="3"/>
  <c r="G2073" i="3"/>
  <c r="F2073" i="3"/>
  <c r="D2073" i="3"/>
  <c r="A2073" i="3"/>
  <c r="H2072" i="3"/>
  <c r="G2072" i="3"/>
  <c r="F2072" i="3"/>
  <c r="D2072" i="3"/>
  <c r="A2072" i="3"/>
  <c r="H2071" i="3"/>
  <c r="G2071" i="3"/>
  <c r="F2071" i="3"/>
  <c r="D2071" i="3"/>
  <c r="A2071" i="3"/>
  <c r="H2070" i="3"/>
  <c r="G2070" i="3"/>
  <c r="F2070" i="3"/>
  <c r="D2070" i="3"/>
  <c r="A2070" i="3"/>
  <c r="J2069" i="3"/>
  <c r="H2069" i="3"/>
  <c r="G2069" i="3"/>
  <c r="F2069" i="3"/>
  <c r="D2069" i="3"/>
  <c r="A2069" i="3"/>
  <c r="J2068" i="3"/>
  <c r="H2068" i="3"/>
  <c r="G2068" i="3"/>
  <c r="F2068" i="3"/>
  <c r="D2068" i="3"/>
  <c r="A2068" i="3"/>
  <c r="H2067" i="3"/>
  <c r="G2067" i="3"/>
  <c r="F2067" i="3"/>
  <c r="D2067" i="3"/>
  <c r="A2067" i="3"/>
  <c r="H2066" i="3"/>
  <c r="G2066" i="3"/>
  <c r="F2066" i="3"/>
  <c r="D2066" i="3"/>
  <c r="A2066" i="3"/>
  <c r="H2065" i="3"/>
  <c r="G2065" i="3"/>
  <c r="F2065" i="3"/>
  <c r="D2065" i="3"/>
  <c r="A2065" i="3"/>
  <c r="H2064" i="3"/>
  <c r="G2064" i="3"/>
  <c r="F2064" i="3"/>
  <c r="D2064" i="3"/>
  <c r="A2064" i="3"/>
  <c r="H2063" i="3"/>
  <c r="G2063" i="3"/>
  <c r="F2063" i="3"/>
  <c r="D2063" i="3"/>
  <c r="A2063" i="3"/>
  <c r="J2062" i="3"/>
  <c r="H2062" i="3"/>
  <c r="G2062" i="3"/>
  <c r="F2062" i="3"/>
  <c r="D2062" i="3"/>
  <c r="A2062" i="3"/>
  <c r="H2061" i="3"/>
  <c r="G2061" i="3"/>
  <c r="F2061" i="3"/>
  <c r="D2061" i="3"/>
  <c r="A2061" i="3"/>
  <c r="H2060" i="3"/>
  <c r="G2060" i="3"/>
  <c r="F2060" i="3"/>
  <c r="D2060" i="3"/>
  <c r="A2060" i="3"/>
  <c r="H2059" i="3"/>
  <c r="G2059" i="3"/>
  <c r="F2059" i="3"/>
  <c r="D2059" i="3"/>
  <c r="A2059" i="3"/>
  <c r="H2058" i="3"/>
  <c r="G2058" i="3"/>
  <c r="F2058" i="3"/>
  <c r="D2058" i="3"/>
  <c r="A2058" i="3"/>
  <c r="H2057" i="3"/>
  <c r="G2057" i="3"/>
  <c r="F2057" i="3"/>
  <c r="D2057" i="3"/>
  <c r="A2057" i="3"/>
  <c r="H2056" i="3"/>
  <c r="G2056" i="3"/>
  <c r="F2056" i="3"/>
  <c r="D2056" i="3"/>
  <c r="A2056" i="3"/>
  <c r="H2055" i="3"/>
  <c r="G2055" i="3"/>
  <c r="F2055" i="3"/>
  <c r="D2055" i="3"/>
  <c r="A2055" i="3"/>
  <c r="H2054" i="3"/>
  <c r="G2054" i="3"/>
  <c r="F2054" i="3"/>
  <c r="D2054" i="3"/>
  <c r="A2054" i="3"/>
  <c r="H2053" i="3"/>
  <c r="G2053" i="3"/>
  <c r="F2053" i="3"/>
  <c r="D2053" i="3"/>
  <c r="A2053" i="3"/>
  <c r="H2052" i="3"/>
  <c r="G2052" i="3"/>
  <c r="F2052" i="3"/>
  <c r="D2052" i="3"/>
  <c r="A2052" i="3"/>
  <c r="H2051" i="3"/>
  <c r="G2051" i="3"/>
  <c r="F2051" i="3"/>
  <c r="D2051" i="3"/>
  <c r="A2051" i="3"/>
  <c r="H2050" i="3"/>
  <c r="G2050" i="3"/>
  <c r="F2050" i="3"/>
  <c r="D2050" i="3"/>
  <c r="A2050" i="3"/>
  <c r="J2049" i="3"/>
  <c r="H2049" i="3"/>
  <c r="G2049" i="3"/>
  <c r="F2049" i="3"/>
  <c r="D2049" i="3"/>
  <c r="A2049" i="3"/>
  <c r="H2048" i="3"/>
  <c r="G2048" i="3"/>
  <c r="F2048" i="3"/>
  <c r="D2048" i="3"/>
  <c r="A2048" i="3"/>
  <c r="H2047" i="3"/>
  <c r="G2047" i="3"/>
  <c r="F2047" i="3"/>
  <c r="D2047" i="3"/>
  <c r="A2047" i="3"/>
  <c r="H2046" i="3"/>
  <c r="G2046" i="3"/>
  <c r="F2046" i="3"/>
  <c r="D2046" i="3"/>
  <c r="A2046" i="3"/>
  <c r="H2045" i="3"/>
  <c r="G2045" i="3"/>
  <c r="F2045" i="3"/>
  <c r="D2045" i="3"/>
  <c r="A2045" i="3"/>
  <c r="J2044" i="3"/>
  <c r="H2044" i="3"/>
  <c r="G2044" i="3"/>
  <c r="F2044" i="3"/>
  <c r="D2044" i="3"/>
  <c r="A2044" i="3"/>
  <c r="H2043" i="3"/>
  <c r="G2043" i="3"/>
  <c r="F2043" i="3"/>
  <c r="D2043" i="3"/>
  <c r="A2043" i="3"/>
  <c r="H2042" i="3"/>
  <c r="G2042" i="3"/>
  <c r="F2042" i="3"/>
  <c r="D2042" i="3"/>
  <c r="A2042" i="3"/>
  <c r="H2041" i="3"/>
  <c r="G2041" i="3"/>
  <c r="F2041" i="3"/>
  <c r="D2041" i="3"/>
  <c r="A2041" i="3"/>
  <c r="H2040" i="3"/>
  <c r="G2040" i="3"/>
  <c r="F2040" i="3"/>
  <c r="D2040" i="3"/>
  <c r="A2040" i="3"/>
  <c r="H2039" i="3"/>
  <c r="G2039" i="3"/>
  <c r="F2039" i="3"/>
  <c r="D2039" i="3"/>
  <c r="A2039" i="3"/>
  <c r="H2038" i="3"/>
  <c r="G2038" i="3"/>
  <c r="F2038" i="3"/>
  <c r="D2038" i="3"/>
  <c r="A2038" i="3"/>
  <c r="H2037" i="3"/>
  <c r="G2037" i="3"/>
  <c r="F2037" i="3"/>
  <c r="D2037" i="3"/>
  <c r="A2037" i="3"/>
  <c r="H2036" i="3"/>
  <c r="G2036" i="3"/>
  <c r="F2036" i="3"/>
  <c r="D2036" i="3"/>
  <c r="A2036" i="3"/>
  <c r="H2035" i="3"/>
  <c r="G2035" i="3"/>
  <c r="F2035" i="3"/>
  <c r="D2035" i="3"/>
  <c r="A2035" i="3"/>
  <c r="H2034" i="3"/>
  <c r="G2034" i="3"/>
  <c r="F2034" i="3"/>
  <c r="D2034" i="3"/>
  <c r="A2034" i="3"/>
  <c r="H2033" i="3"/>
  <c r="G2033" i="3"/>
  <c r="F2033" i="3"/>
  <c r="D2033" i="3"/>
  <c r="A2033" i="3"/>
  <c r="H2032" i="3"/>
  <c r="G2032" i="3"/>
  <c r="F2032" i="3"/>
  <c r="D2032" i="3"/>
  <c r="A2032" i="3"/>
  <c r="H2031" i="3"/>
  <c r="G2031" i="3"/>
  <c r="F2031" i="3"/>
  <c r="D2031" i="3"/>
  <c r="A2031" i="3"/>
  <c r="H2030" i="3"/>
  <c r="G2030" i="3"/>
  <c r="F2030" i="3"/>
  <c r="D2030" i="3"/>
  <c r="A2030" i="3"/>
  <c r="H2029" i="3"/>
  <c r="G2029" i="3"/>
  <c r="F2029" i="3"/>
  <c r="D2029" i="3"/>
  <c r="A2029" i="3"/>
  <c r="H2028" i="3"/>
  <c r="G2028" i="3"/>
  <c r="F2028" i="3"/>
  <c r="D2028" i="3"/>
  <c r="A2028" i="3"/>
  <c r="H2027" i="3"/>
  <c r="G2027" i="3"/>
  <c r="F2027" i="3"/>
  <c r="D2027" i="3"/>
  <c r="A2027" i="3"/>
  <c r="H2026" i="3"/>
  <c r="G2026" i="3"/>
  <c r="F2026" i="3"/>
  <c r="D2026" i="3"/>
  <c r="A2026" i="3"/>
  <c r="H2025" i="3"/>
  <c r="G2025" i="3"/>
  <c r="F2025" i="3"/>
  <c r="D2025" i="3"/>
  <c r="A2025" i="3"/>
  <c r="H2024" i="3"/>
  <c r="G2024" i="3"/>
  <c r="F2024" i="3"/>
  <c r="D2024" i="3"/>
  <c r="A2024" i="3"/>
  <c r="H2023" i="3"/>
  <c r="G2023" i="3"/>
  <c r="F2023" i="3"/>
  <c r="D2023" i="3"/>
  <c r="A2023" i="3"/>
  <c r="H2022" i="3"/>
  <c r="G2022" i="3"/>
  <c r="F2022" i="3"/>
  <c r="D2022" i="3"/>
  <c r="A2022" i="3"/>
  <c r="H2021" i="3"/>
  <c r="G2021" i="3"/>
  <c r="F2021" i="3"/>
  <c r="D2021" i="3"/>
  <c r="A2021" i="3"/>
  <c r="H2020" i="3"/>
  <c r="G2020" i="3"/>
  <c r="F2020" i="3"/>
  <c r="D2020" i="3"/>
  <c r="A2020" i="3"/>
  <c r="H2019" i="3"/>
  <c r="G2019" i="3"/>
  <c r="F2019" i="3"/>
  <c r="D2019" i="3"/>
  <c r="A2019" i="3"/>
  <c r="H2018" i="3"/>
  <c r="G2018" i="3"/>
  <c r="F2018" i="3"/>
  <c r="D2018" i="3"/>
  <c r="A2018" i="3"/>
  <c r="H2017" i="3"/>
  <c r="G2017" i="3"/>
  <c r="F2017" i="3"/>
  <c r="D2017" i="3"/>
  <c r="A2017" i="3"/>
  <c r="H2016" i="3"/>
  <c r="G2016" i="3"/>
  <c r="F2016" i="3"/>
  <c r="D2016" i="3"/>
  <c r="A2016" i="3"/>
  <c r="H2015" i="3"/>
  <c r="G2015" i="3"/>
  <c r="F2015" i="3"/>
  <c r="D2015" i="3"/>
  <c r="A2015" i="3"/>
  <c r="J2014" i="3"/>
  <c r="H2014" i="3"/>
  <c r="G2014" i="3"/>
  <c r="F2014" i="3"/>
  <c r="D2014" i="3"/>
  <c r="A2014" i="3"/>
  <c r="H2013" i="3"/>
  <c r="G2013" i="3"/>
  <c r="F2013" i="3"/>
  <c r="D2013" i="3"/>
  <c r="A2013" i="3"/>
  <c r="H2012" i="3"/>
  <c r="G2012" i="3"/>
  <c r="F2012" i="3"/>
  <c r="D2012" i="3"/>
  <c r="A2012" i="3"/>
  <c r="H2011" i="3"/>
  <c r="G2011" i="3"/>
  <c r="F2011" i="3"/>
  <c r="D2011" i="3"/>
  <c r="A2011" i="3"/>
  <c r="H2010" i="3"/>
  <c r="G2010" i="3"/>
  <c r="F2010" i="3"/>
  <c r="D2010" i="3"/>
  <c r="A2010" i="3"/>
  <c r="H2009" i="3"/>
  <c r="G2009" i="3"/>
  <c r="F2009" i="3"/>
  <c r="D2009" i="3"/>
  <c r="A2009" i="3"/>
  <c r="H2008" i="3"/>
  <c r="G2008" i="3"/>
  <c r="F2008" i="3"/>
  <c r="D2008" i="3"/>
  <c r="A2008" i="3"/>
  <c r="H2007" i="3"/>
  <c r="G2007" i="3"/>
  <c r="F2007" i="3"/>
  <c r="D2007" i="3"/>
  <c r="A2007" i="3"/>
  <c r="H2006" i="3"/>
  <c r="G2006" i="3"/>
  <c r="F2006" i="3"/>
  <c r="D2006" i="3"/>
  <c r="A2006" i="3"/>
  <c r="H2005" i="3"/>
  <c r="G2005" i="3"/>
  <c r="F2005" i="3"/>
  <c r="D2005" i="3"/>
  <c r="A2005" i="3"/>
  <c r="H2004" i="3"/>
  <c r="G2004" i="3"/>
  <c r="F2004" i="3"/>
  <c r="D2004" i="3"/>
  <c r="A2004" i="3"/>
  <c r="H2003" i="3"/>
  <c r="G2003" i="3"/>
  <c r="F2003" i="3"/>
  <c r="D2003" i="3"/>
  <c r="A2003" i="3"/>
  <c r="H2002" i="3"/>
  <c r="G2002" i="3"/>
  <c r="F2002" i="3"/>
  <c r="D2002" i="3"/>
  <c r="A2002" i="3"/>
  <c r="J2001" i="3"/>
  <c r="H2001" i="3"/>
  <c r="G2001" i="3"/>
  <c r="F2001" i="3"/>
  <c r="D2001" i="3"/>
  <c r="A2001" i="3"/>
  <c r="H2000" i="3"/>
  <c r="G2000" i="3"/>
  <c r="F2000" i="3"/>
  <c r="D2000" i="3"/>
  <c r="A2000" i="3"/>
  <c r="H1999" i="3"/>
  <c r="G1999" i="3"/>
  <c r="F1999" i="3"/>
  <c r="D1999" i="3"/>
  <c r="A1999" i="3"/>
  <c r="H1998" i="3"/>
  <c r="G1998" i="3"/>
  <c r="F1998" i="3"/>
  <c r="D1998" i="3"/>
  <c r="A1998" i="3"/>
  <c r="H1997" i="3"/>
  <c r="G1997" i="3"/>
  <c r="F1997" i="3"/>
  <c r="D1997" i="3"/>
  <c r="A1997" i="3"/>
  <c r="H1996" i="3"/>
  <c r="G1996" i="3"/>
  <c r="F1996" i="3"/>
  <c r="D1996" i="3"/>
  <c r="A1996" i="3"/>
  <c r="H1995" i="3"/>
  <c r="G1995" i="3"/>
  <c r="F1995" i="3"/>
  <c r="D1995" i="3"/>
  <c r="A1995" i="3"/>
  <c r="H1994" i="3"/>
  <c r="G1994" i="3"/>
  <c r="F1994" i="3"/>
  <c r="D1994" i="3"/>
  <c r="A1994" i="3"/>
  <c r="H1993" i="3"/>
  <c r="G1993" i="3"/>
  <c r="D1993" i="3"/>
  <c r="A1993" i="3"/>
  <c r="H1992" i="3"/>
  <c r="G1992" i="3"/>
  <c r="F1992" i="3"/>
  <c r="D1992" i="3"/>
  <c r="A1992" i="3"/>
  <c r="H1991" i="3"/>
  <c r="G1991" i="3"/>
  <c r="F1991" i="3"/>
  <c r="D1991" i="3"/>
  <c r="A1991" i="3"/>
  <c r="J1990" i="3"/>
  <c r="H1990" i="3"/>
  <c r="G1990" i="3"/>
  <c r="F1990" i="3"/>
  <c r="D1990" i="3"/>
  <c r="A1990" i="3"/>
  <c r="H1989" i="3"/>
  <c r="G1989" i="3"/>
  <c r="F1989" i="3"/>
  <c r="D1989" i="3"/>
  <c r="A1989" i="3"/>
  <c r="H1988" i="3"/>
  <c r="G1988" i="3"/>
  <c r="F1988" i="3"/>
  <c r="D1988" i="3"/>
  <c r="A1988" i="3"/>
  <c r="H1987" i="3"/>
  <c r="G1987" i="3"/>
  <c r="F1987" i="3"/>
  <c r="D1987" i="3"/>
  <c r="A1987" i="3"/>
  <c r="H1986" i="3"/>
  <c r="G1986" i="3"/>
  <c r="F1986" i="3"/>
  <c r="D1986" i="3"/>
  <c r="A1986" i="3"/>
  <c r="H1985" i="3"/>
  <c r="G1985" i="3"/>
  <c r="F1985" i="3"/>
  <c r="D1985" i="3"/>
  <c r="A1985" i="3"/>
  <c r="H1984" i="3"/>
  <c r="G1984" i="3"/>
  <c r="D1984" i="3"/>
  <c r="A1984" i="3"/>
  <c r="H1983" i="3"/>
  <c r="G1983" i="3"/>
  <c r="F1983" i="3"/>
  <c r="D1983" i="3"/>
  <c r="A1983" i="3"/>
  <c r="H1982" i="3"/>
  <c r="G1982" i="3"/>
  <c r="F1982" i="3"/>
  <c r="D1982" i="3"/>
  <c r="A1982" i="3"/>
  <c r="H1981" i="3"/>
  <c r="G1981" i="3"/>
  <c r="F1981" i="3"/>
  <c r="D1981" i="3"/>
  <c r="A1981" i="3"/>
  <c r="H1980" i="3"/>
  <c r="G1980" i="3"/>
  <c r="F1980" i="3"/>
  <c r="D1980" i="3"/>
  <c r="A1980" i="3"/>
  <c r="H1979" i="3"/>
  <c r="G1979" i="3"/>
  <c r="F1979" i="3"/>
  <c r="D1979" i="3"/>
  <c r="A1979" i="3"/>
  <c r="J1978" i="3"/>
  <c r="H1978" i="3"/>
  <c r="G1978" i="3"/>
  <c r="F1978" i="3"/>
  <c r="D1978" i="3"/>
  <c r="A1978" i="3"/>
  <c r="H1977" i="3"/>
  <c r="G1977" i="3"/>
  <c r="F1977" i="3"/>
  <c r="D1977" i="3"/>
  <c r="A1977" i="3"/>
  <c r="H1976" i="3"/>
  <c r="G1976" i="3"/>
  <c r="F1976" i="3"/>
  <c r="D1976" i="3"/>
  <c r="A1976" i="3"/>
  <c r="H1975" i="3"/>
  <c r="G1975" i="3"/>
  <c r="F1975" i="3"/>
  <c r="D1975" i="3"/>
  <c r="A1975" i="3"/>
  <c r="J1974" i="3"/>
  <c r="H1974" i="3"/>
  <c r="G1974" i="3"/>
  <c r="F1974" i="3"/>
  <c r="D1974" i="3"/>
  <c r="A1974" i="3"/>
  <c r="H1973" i="3"/>
  <c r="G1973" i="3"/>
  <c r="F1973" i="3"/>
  <c r="D1973" i="3"/>
  <c r="A1973" i="3"/>
  <c r="H1972" i="3"/>
  <c r="G1972" i="3"/>
  <c r="F1972" i="3"/>
  <c r="D1972" i="3"/>
  <c r="A1972" i="3"/>
  <c r="H1971" i="3"/>
  <c r="G1971" i="3"/>
  <c r="F1971" i="3"/>
  <c r="D1971" i="3"/>
  <c r="A1971" i="3"/>
  <c r="H1970" i="3"/>
  <c r="G1970" i="3"/>
  <c r="F1970" i="3"/>
  <c r="D1970" i="3"/>
  <c r="A1970" i="3"/>
  <c r="H1969" i="3"/>
  <c r="G1969" i="3"/>
  <c r="F1969" i="3"/>
  <c r="D1969" i="3"/>
  <c r="A1969" i="3"/>
  <c r="H1968" i="3"/>
  <c r="G1968" i="3"/>
  <c r="F1968" i="3"/>
  <c r="D1968" i="3"/>
  <c r="A1968" i="3"/>
  <c r="H1967" i="3"/>
  <c r="G1967" i="3"/>
  <c r="F1967" i="3"/>
  <c r="D1967" i="3"/>
  <c r="A1967" i="3"/>
  <c r="H1966" i="3"/>
  <c r="G1966" i="3"/>
  <c r="F1966" i="3"/>
  <c r="D1966" i="3"/>
  <c r="A1966" i="3"/>
  <c r="H1965" i="3"/>
  <c r="G1965" i="3"/>
  <c r="F1965" i="3"/>
  <c r="D1965" i="3"/>
  <c r="A1965" i="3"/>
  <c r="H1964" i="3"/>
  <c r="G1964" i="3"/>
  <c r="F1964" i="3"/>
  <c r="D1964" i="3"/>
  <c r="A1964" i="3"/>
  <c r="H1963" i="3"/>
  <c r="G1963" i="3"/>
  <c r="F1963" i="3"/>
  <c r="D1963" i="3"/>
  <c r="A1963" i="3"/>
  <c r="H1962" i="3"/>
  <c r="G1962" i="3"/>
  <c r="F1962" i="3"/>
  <c r="D1962" i="3"/>
  <c r="A1962" i="3"/>
  <c r="H1961" i="3"/>
  <c r="G1961" i="3"/>
  <c r="F1961" i="3"/>
  <c r="D1961" i="3"/>
  <c r="A1961" i="3"/>
  <c r="H1960" i="3"/>
  <c r="G1960" i="3"/>
  <c r="F1960" i="3"/>
  <c r="D1960" i="3"/>
  <c r="A1960" i="3"/>
  <c r="H1959" i="3"/>
  <c r="G1959" i="3"/>
  <c r="F1959" i="3"/>
  <c r="D1959" i="3"/>
  <c r="A1959" i="3"/>
  <c r="H1958" i="3"/>
  <c r="G1958" i="3"/>
  <c r="D1958" i="3"/>
  <c r="A1958" i="3"/>
  <c r="H1957" i="3"/>
  <c r="G1957" i="3"/>
  <c r="D1957" i="3"/>
  <c r="A1957" i="3"/>
  <c r="H1956" i="3"/>
  <c r="G1956" i="3"/>
  <c r="F1956" i="3"/>
  <c r="D1956" i="3"/>
  <c r="A1956" i="3"/>
  <c r="H1955" i="3"/>
  <c r="G1955" i="3"/>
  <c r="F1955" i="3"/>
  <c r="D1955" i="3"/>
  <c r="A1955" i="3"/>
  <c r="H1954" i="3"/>
  <c r="G1954" i="3"/>
  <c r="F1954" i="3"/>
  <c r="D1954" i="3"/>
  <c r="A1954" i="3"/>
  <c r="H1953" i="3"/>
  <c r="G1953" i="3"/>
  <c r="F1953" i="3"/>
  <c r="D1953" i="3"/>
  <c r="A1953" i="3"/>
  <c r="H1952" i="3"/>
  <c r="G1952" i="3"/>
  <c r="F1952" i="3"/>
  <c r="D1952" i="3"/>
  <c r="A1952" i="3"/>
  <c r="H1951" i="3"/>
  <c r="G1951" i="3"/>
  <c r="F1951" i="3"/>
  <c r="D1951" i="3"/>
  <c r="A1951" i="3"/>
  <c r="H1950" i="3"/>
  <c r="G1950" i="3"/>
  <c r="F1950" i="3"/>
  <c r="D1950" i="3"/>
  <c r="A1950" i="3"/>
  <c r="H1949" i="3"/>
  <c r="G1949" i="3"/>
  <c r="F1949" i="3"/>
  <c r="D1949" i="3"/>
  <c r="A1949" i="3"/>
  <c r="H1948" i="3"/>
  <c r="G1948" i="3"/>
  <c r="F1948" i="3"/>
  <c r="D1948" i="3"/>
  <c r="A1948" i="3"/>
  <c r="H1947" i="3"/>
  <c r="G1947" i="3"/>
  <c r="F1947" i="3"/>
  <c r="D1947" i="3"/>
  <c r="A1947" i="3"/>
  <c r="H1946" i="3"/>
  <c r="G1946" i="3"/>
  <c r="F1946" i="3"/>
  <c r="D1946" i="3"/>
  <c r="A1946" i="3"/>
  <c r="H1945" i="3"/>
  <c r="G1945" i="3"/>
  <c r="F1945" i="3"/>
  <c r="D1945" i="3"/>
  <c r="A1945" i="3"/>
  <c r="H1944" i="3"/>
  <c r="G1944" i="3"/>
  <c r="F1944" i="3"/>
  <c r="D1944" i="3"/>
  <c r="A1944" i="3"/>
  <c r="H1943" i="3"/>
  <c r="G1943" i="3"/>
  <c r="F1943" i="3"/>
  <c r="D1943" i="3"/>
  <c r="A1943" i="3"/>
  <c r="H1942" i="3"/>
  <c r="G1942" i="3"/>
  <c r="F1942" i="3"/>
  <c r="D1942" i="3"/>
  <c r="A1942" i="3"/>
  <c r="H1941" i="3"/>
  <c r="G1941" i="3"/>
  <c r="F1941" i="3"/>
  <c r="D1941" i="3"/>
  <c r="A1941" i="3"/>
  <c r="H1940" i="3"/>
  <c r="G1940" i="3"/>
  <c r="F1940" i="3"/>
  <c r="D1940" i="3"/>
  <c r="A1940" i="3"/>
  <c r="H1939" i="3"/>
  <c r="G1939" i="3"/>
  <c r="F1939" i="3"/>
  <c r="D1939" i="3"/>
  <c r="A1939" i="3"/>
  <c r="H1938" i="3"/>
  <c r="G1938" i="3"/>
  <c r="F1938" i="3"/>
  <c r="D1938" i="3"/>
  <c r="A1938" i="3"/>
  <c r="H1937" i="3"/>
  <c r="G1937" i="3"/>
  <c r="D1937" i="3"/>
  <c r="A1937" i="3"/>
  <c r="H1936" i="3"/>
  <c r="G1936" i="3"/>
  <c r="F1936" i="3"/>
  <c r="D1936" i="3"/>
  <c r="A1936" i="3"/>
  <c r="J1935" i="3"/>
  <c r="H1935" i="3"/>
  <c r="G1935" i="3"/>
  <c r="F1935" i="3"/>
  <c r="D1935" i="3"/>
  <c r="A1935" i="3"/>
  <c r="H1934" i="3"/>
  <c r="G1934" i="3"/>
  <c r="F1934" i="3"/>
  <c r="D1934" i="3"/>
  <c r="A1934" i="3"/>
  <c r="H1933" i="3"/>
  <c r="G1933" i="3"/>
  <c r="F1933" i="3"/>
  <c r="D1933" i="3"/>
  <c r="A1933" i="3"/>
  <c r="H1932" i="3"/>
  <c r="G1932" i="3"/>
  <c r="F1932" i="3"/>
  <c r="D1932" i="3"/>
  <c r="A1932" i="3"/>
  <c r="J1931" i="3"/>
  <c r="H1931" i="3"/>
  <c r="G1931" i="3"/>
  <c r="F1931" i="3"/>
  <c r="D1931" i="3"/>
  <c r="A1931" i="3"/>
  <c r="J1930" i="3"/>
  <c r="H1930" i="3"/>
  <c r="G1930" i="3"/>
  <c r="F1930" i="3"/>
  <c r="D1930" i="3"/>
  <c r="A1930" i="3"/>
  <c r="J1929" i="3"/>
  <c r="H1929" i="3"/>
  <c r="G1929" i="3"/>
  <c r="F1929" i="3"/>
  <c r="D1929" i="3"/>
  <c r="A1929" i="3"/>
  <c r="H1928" i="3"/>
  <c r="G1928" i="3"/>
  <c r="F1928" i="3"/>
  <c r="D1928" i="3"/>
  <c r="A1928" i="3"/>
  <c r="H1927" i="3"/>
  <c r="G1927" i="3"/>
  <c r="F1927" i="3"/>
  <c r="D1927" i="3"/>
  <c r="A1927" i="3"/>
  <c r="H1926" i="3"/>
  <c r="G1926" i="3"/>
  <c r="F1926" i="3"/>
  <c r="D1926" i="3"/>
  <c r="A1926" i="3"/>
  <c r="H1925" i="3"/>
  <c r="G1925" i="3"/>
  <c r="F1925" i="3"/>
  <c r="D1925" i="3"/>
  <c r="A1925" i="3"/>
  <c r="H1924" i="3"/>
  <c r="G1924" i="3"/>
  <c r="F1924" i="3"/>
  <c r="D1924" i="3"/>
  <c r="A1924" i="3"/>
  <c r="H1923" i="3"/>
  <c r="G1923" i="3"/>
  <c r="F1923" i="3"/>
  <c r="D1923" i="3"/>
  <c r="A1923" i="3"/>
  <c r="H1922" i="3"/>
  <c r="G1922" i="3"/>
  <c r="F1922" i="3"/>
  <c r="D1922" i="3"/>
  <c r="A1922" i="3"/>
  <c r="H1921" i="3"/>
  <c r="G1921" i="3"/>
  <c r="F1921" i="3"/>
  <c r="D1921" i="3"/>
  <c r="A1921" i="3"/>
  <c r="H1920" i="3"/>
  <c r="G1920" i="3"/>
  <c r="F1920" i="3"/>
  <c r="D1920" i="3"/>
  <c r="A1920" i="3"/>
  <c r="H1919" i="3"/>
  <c r="G1919" i="3"/>
  <c r="F1919" i="3"/>
  <c r="D1919" i="3"/>
  <c r="A1919" i="3"/>
  <c r="H1918" i="3"/>
  <c r="G1918" i="3"/>
  <c r="F1918" i="3"/>
  <c r="D1918" i="3"/>
  <c r="A1918" i="3"/>
  <c r="H1917" i="3"/>
  <c r="G1917" i="3"/>
  <c r="F1917" i="3"/>
  <c r="D1917" i="3"/>
  <c r="A1917" i="3"/>
  <c r="H1916" i="3"/>
  <c r="G1916" i="3"/>
  <c r="F1916" i="3"/>
  <c r="D1916" i="3"/>
  <c r="A1916" i="3"/>
  <c r="H1915" i="3"/>
  <c r="G1915" i="3"/>
  <c r="F1915" i="3"/>
  <c r="D1915" i="3"/>
  <c r="A1915" i="3"/>
  <c r="H1914" i="3"/>
  <c r="G1914" i="3"/>
  <c r="F1914" i="3"/>
  <c r="D1914" i="3"/>
  <c r="A1914" i="3"/>
  <c r="H1913" i="3"/>
  <c r="G1913" i="3"/>
  <c r="F1913" i="3"/>
  <c r="D1913" i="3"/>
  <c r="A1913" i="3"/>
  <c r="J1912" i="3"/>
  <c r="H1912" i="3"/>
  <c r="G1912" i="3"/>
  <c r="F1912" i="3"/>
  <c r="D1912" i="3"/>
  <c r="A1912" i="3"/>
  <c r="H1911" i="3"/>
  <c r="G1911" i="3"/>
  <c r="F1911" i="3"/>
  <c r="D1911" i="3"/>
  <c r="A1911" i="3"/>
  <c r="H1910" i="3"/>
  <c r="G1910" i="3"/>
  <c r="F1910" i="3"/>
  <c r="D1910" i="3"/>
  <c r="A1910" i="3"/>
  <c r="H1909" i="3"/>
  <c r="G1909" i="3"/>
  <c r="F1909" i="3"/>
  <c r="D1909" i="3"/>
  <c r="A1909" i="3"/>
  <c r="H1908" i="3"/>
  <c r="G1908" i="3"/>
  <c r="D1908" i="3"/>
  <c r="A1908" i="3"/>
  <c r="H1907" i="3"/>
  <c r="G1907" i="3"/>
  <c r="F1907" i="3"/>
  <c r="D1907" i="3"/>
  <c r="A1907" i="3"/>
  <c r="H1906" i="3"/>
  <c r="G1906" i="3"/>
  <c r="F1906" i="3"/>
  <c r="D1906" i="3"/>
  <c r="A1906" i="3"/>
  <c r="H1905" i="3"/>
  <c r="G1905" i="3"/>
  <c r="F1905" i="3"/>
  <c r="D1905" i="3"/>
  <c r="A1905" i="3"/>
  <c r="H1904" i="3"/>
  <c r="G1904" i="3"/>
  <c r="F1904" i="3"/>
  <c r="D1904" i="3"/>
  <c r="A1904" i="3"/>
  <c r="H1903" i="3"/>
  <c r="G1903" i="3"/>
  <c r="F1903" i="3"/>
  <c r="D1903" i="3"/>
  <c r="A1903" i="3"/>
  <c r="H1902" i="3"/>
  <c r="G1902" i="3"/>
  <c r="F1902" i="3"/>
  <c r="D1902" i="3"/>
  <c r="A1902" i="3"/>
  <c r="J1901" i="3"/>
  <c r="H1901" i="3"/>
  <c r="G1901" i="3"/>
  <c r="F1901" i="3"/>
  <c r="D1901" i="3"/>
  <c r="A1901" i="3"/>
  <c r="H1900" i="3"/>
  <c r="G1900" i="3"/>
  <c r="F1900" i="3"/>
  <c r="D1900" i="3"/>
  <c r="A1900" i="3"/>
  <c r="H1899" i="3"/>
  <c r="G1899" i="3"/>
  <c r="F1899" i="3"/>
  <c r="D1899" i="3"/>
  <c r="A1899" i="3"/>
  <c r="H1898" i="3"/>
  <c r="G1898" i="3"/>
  <c r="F1898" i="3"/>
  <c r="D1898" i="3"/>
  <c r="A1898" i="3"/>
  <c r="H1897" i="3"/>
  <c r="G1897" i="3"/>
  <c r="F1897" i="3"/>
  <c r="D1897" i="3"/>
  <c r="A1897" i="3"/>
  <c r="H1896" i="3"/>
  <c r="G1896" i="3"/>
  <c r="F1896" i="3"/>
  <c r="D1896" i="3"/>
  <c r="A1896" i="3"/>
  <c r="H1895" i="3"/>
  <c r="G1895" i="3"/>
  <c r="F1895" i="3"/>
  <c r="D1895" i="3"/>
  <c r="A1895" i="3"/>
  <c r="H1894" i="3"/>
  <c r="G1894" i="3"/>
  <c r="F1894" i="3"/>
  <c r="D1894" i="3"/>
  <c r="A1894" i="3"/>
  <c r="H1893" i="3"/>
  <c r="G1893" i="3"/>
  <c r="F1893" i="3"/>
  <c r="D1893" i="3"/>
  <c r="A1893" i="3"/>
  <c r="H1892" i="3"/>
  <c r="G1892" i="3"/>
  <c r="F1892" i="3"/>
  <c r="D1892" i="3"/>
  <c r="A1892" i="3"/>
  <c r="J1891" i="3"/>
  <c r="H1891" i="3"/>
  <c r="G1891" i="3"/>
  <c r="F1891" i="3"/>
  <c r="D1891" i="3"/>
  <c r="A1891" i="3"/>
  <c r="H1890" i="3"/>
  <c r="G1890" i="3"/>
  <c r="F1890" i="3"/>
  <c r="D1890" i="3"/>
  <c r="A1890" i="3"/>
  <c r="J1889" i="3"/>
  <c r="H1889" i="3"/>
  <c r="G1889" i="3"/>
  <c r="F1889" i="3"/>
  <c r="D1889" i="3"/>
  <c r="A1889" i="3"/>
  <c r="H1888" i="3"/>
  <c r="G1888" i="3"/>
  <c r="F1888" i="3"/>
  <c r="D1888" i="3"/>
  <c r="A1888" i="3"/>
  <c r="H1887" i="3"/>
  <c r="G1887" i="3"/>
  <c r="F1887" i="3"/>
  <c r="D1887" i="3"/>
  <c r="A1887" i="3"/>
  <c r="H1886" i="3"/>
  <c r="G1886" i="3"/>
  <c r="F1886" i="3"/>
  <c r="D1886" i="3"/>
  <c r="A1886" i="3"/>
  <c r="H1885" i="3"/>
  <c r="G1885" i="3"/>
  <c r="F1885" i="3"/>
  <c r="D1885" i="3"/>
  <c r="A1885" i="3"/>
  <c r="H1884" i="3"/>
  <c r="G1884" i="3"/>
  <c r="F1884" i="3"/>
  <c r="D1884" i="3"/>
  <c r="A1884" i="3"/>
  <c r="H1883" i="3"/>
  <c r="G1883" i="3"/>
  <c r="F1883" i="3"/>
  <c r="D1883" i="3"/>
  <c r="A1883" i="3"/>
  <c r="H1882" i="3"/>
  <c r="G1882" i="3"/>
  <c r="F1882" i="3"/>
  <c r="D1882" i="3"/>
  <c r="A1882" i="3"/>
  <c r="H1881" i="3"/>
  <c r="G1881" i="3"/>
  <c r="F1881" i="3"/>
  <c r="D1881" i="3"/>
  <c r="A1881" i="3"/>
  <c r="J1880" i="3"/>
  <c r="H1880" i="3"/>
  <c r="G1880" i="3"/>
  <c r="F1880" i="3"/>
  <c r="D1880" i="3"/>
  <c r="A1880" i="3"/>
  <c r="H1879" i="3"/>
  <c r="G1879" i="3"/>
  <c r="F1879" i="3"/>
  <c r="D1879" i="3"/>
  <c r="A1879" i="3"/>
  <c r="J1878" i="3"/>
  <c r="H1878" i="3"/>
  <c r="G1878" i="3"/>
  <c r="F1878" i="3"/>
  <c r="D1878" i="3"/>
  <c r="A1878" i="3"/>
  <c r="H1877" i="3"/>
  <c r="G1877" i="3"/>
  <c r="F1877" i="3"/>
  <c r="D1877" i="3"/>
  <c r="A1877" i="3"/>
  <c r="H1876" i="3"/>
  <c r="G1876" i="3"/>
  <c r="F1876" i="3"/>
  <c r="D1876" i="3"/>
  <c r="A1876" i="3"/>
  <c r="H1875" i="3"/>
  <c r="G1875" i="3"/>
  <c r="F1875" i="3"/>
  <c r="D1875" i="3"/>
  <c r="A1875" i="3"/>
  <c r="H1874" i="3"/>
  <c r="G1874" i="3"/>
  <c r="F1874" i="3"/>
  <c r="D1874" i="3"/>
  <c r="A1874" i="3"/>
  <c r="H1873" i="3"/>
  <c r="G1873" i="3"/>
  <c r="F1873" i="3"/>
  <c r="D1873" i="3"/>
  <c r="A1873" i="3"/>
  <c r="H1872" i="3"/>
  <c r="G1872" i="3"/>
  <c r="F1872" i="3"/>
  <c r="D1872" i="3"/>
  <c r="A1872" i="3"/>
  <c r="J1871" i="3"/>
  <c r="H1871" i="3"/>
  <c r="G1871" i="3"/>
  <c r="F1871" i="3"/>
  <c r="D1871" i="3"/>
  <c r="A1871" i="3"/>
  <c r="H1870" i="3"/>
  <c r="G1870" i="3"/>
  <c r="F1870" i="3"/>
  <c r="D1870" i="3"/>
  <c r="A1870" i="3"/>
  <c r="H1869" i="3"/>
  <c r="G1869" i="3"/>
  <c r="F1869" i="3"/>
  <c r="D1869" i="3"/>
  <c r="A1869" i="3"/>
  <c r="J1868" i="3"/>
  <c r="H1868" i="3"/>
  <c r="G1868" i="3"/>
  <c r="F1868" i="3"/>
  <c r="D1868" i="3"/>
  <c r="A1868" i="3"/>
  <c r="H1867" i="3"/>
  <c r="G1867" i="3"/>
  <c r="F1867" i="3"/>
  <c r="D1867" i="3"/>
  <c r="A1867" i="3"/>
  <c r="H1866" i="3"/>
  <c r="G1866" i="3"/>
  <c r="F1866" i="3"/>
  <c r="D1866" i="3"/>
  <c r="A1866" i="3"/>
  <c r="H1865" i="3"/>
  <c r="G1865" i="3"/>
  <c r="F1865" i="3"/>
  <c r="D1865" i="3"/>
  <c r="A1865" i="3"/>
  <c r="H1864" i="3"/>
  <c r="G1864" i="3"/>
  <c r="F1864" i="3"/>
  <c r="D1864" i="3"/>
  <c r="A1864" i="3"/>
  <c r="J1863" i="3"/>
  <c r="H1863" i="3"/>
  <c r="G1863" i="3"/>
  <c r="F1863" i="3"/>
  <c r="D1863" i="3"/>
  <c r="A1863" i="3"/>
  <c r="J1862" i="3"/>
  <c r="H1862" i="3"/>
  <c r="G1862" i="3"/>
  <c r="F1862" i="3"/>
  <c r="D1862" i="3"/>
  <c r="A1862" i="3"/>
  <c r="J1861" i="3"/>
  <c r="H1861" i="3"/>
  <c r="G1861" i="3"/>
  <c r="F1861" i="3"/>
  <c r="D1861" i="3"/>
  <c r="A1861" i="3"/>
  <c r="H1860" i="3"/>
  <c r="G1860" i="3"/>
  <c r="F1860" i="3"/>
  <c r="D1860" i="3"/>
  <c r="A1860" i="3"/>
  <c r="H1859" i="3"/>
  <c r="G1859" i="3"/>
  <c r="F1859" i="3"/>
  <c r="D1859" i="3"/>
  <c r="A1859" i="3"/>
  <c r="J1858" i="3"/>
  <c r="H1858" i="3"/>
  <c r="G1858" i="3"/>
  <c r="F1858" i="3"/>
  <c r="D1858" i="3"/>
  <c r="A1858" i="3"/>
  <c r="J1857" i="3"/>
  <c r="H1857" i="3"/>
  <c r="G1857" i="3"/>
  <c r="F1857" i="3"/>
  <c r="D1857" i="3"/>
  <c r="A1857" i="3"/>
  <c r="H1856" i="3"/>
  <c r="G1856" i="3"/>
  <c r="F1856" i="3"/>
  <c r="D1856" i="3"/>
  <c r="A1856" i="3"/>
  <c r="J1855" i="3"/>
  <c r="H1855" i="3"/>
  <c r="G1855" i="3"/>
  <c r="F1855" i="3"/>
  <c r="D1855" i="3"/>
  <c r="A1855" i="3"/>
  <c r="J1854" i="3"/>
  <c r="H1854" i="3"/>
  <c r="G1854" i="3"/>
  <c r="F1854" i="3"/>
  <c r="D1854" i="3"/>
  <c r="A1854" i="3"/>
  <c r="H1853" i="3"/>
  <c r="G1853" i="3"/>
  <c r="F1853" i="3"/>
  <c r="D1853" i="3"/>
  <c r="A1853" i="3"/>
  <c r="H1852" i="3"/>
  <c r="G1852" i="3"/>
  <c r="F1852" i="3"/>
  <c r="D1852" i="3"/>
  <c r="A1852" i="3"/>
  <c r="H1851" i="3"/>
  <c r="G1851" i="3"/>
  <c r="F1851" i="3"/>
  <c r="D1851" i="3"/>
  <c r="A1851" i="3"/>
  <c r="H1850" i="3"/>
  <c r="G1850" i="3"/>
  <c r="F1850" i="3"/>
  <c r="D1850" i="3"/>
  <c r="A1850" i="3"/>
  <c r="H1849" i="3"/>
  <c r="G1849" i="3"/>
  <c r="F1849" i="3"/>
  <c r="D1849" i="3"/>
  <c r="A1849" i="3"/>
  <c r="H1848" i="3"/>
  <c r="G1848" i="3"/>
  <c r="F1848" i="3"/>
  <c r="D1848" i="3"/>
  <c r="A1848" i="3"/>
  <c r="H1847" i="3"/>
  <c r="G1847" i="3"/>
  <c r="F1847" i="3"/>
  <c r="D1847" i="3"/>
  <c r="A1847" i="3"/>
  <c r="H1846" i="3"/>
  <c r="G1846" i="3"/>
  <c r="F1846" i="3"/>
  <c r="D1846" i="3"/>
  <c r="A1846" i="3"/>
  <c r="H1845" i="3"/>
  <c r="G1845" i="3"/>
  <c r="F1845" i="3"/>
  <c r="D1845" i="3"/>
  <c r="A1845" i="3"/>
  <c r="J1844" i="3"/>
  <c r="H1844" i="3"/>
  <c r="G1844" i="3"/>
  <c r="F1844" i="3"/>
  <c r="D1844" i="3"/>
  <c r="A1844" i="3"/>
  <c r="H1843" i="3"/>
  <c r="G1843" i="3"/>
  <c r="F1843" i="3"/>
  <c r="D1843" i="3"/>
  <c r="A1843" i="3"/>
  <c r="H1842" i="3"/>
  <c r="G1842" i="3"/>
  <c r="F1842" i="3"/>
  <c r="D1842" i="3"/>
  <c r="A1842" i="3"/>
  <c r="J1841" i="3"/>
  <c r="H1841" i="3"/>
  <c r="G1841" i="3"/>
  <c r="F1841" i="3"/>
  <c r="D1841" i="3"/>
  <c r="A1841" i="3"/>
  <c r="H1840" i="3"/>
  <c r="G1840" i="3"/>
  <c r="F1840" i="3"/>
  <c r="D1840" i="3"/>
  <c r="A1840" i="3"/>
  <c r="H1839" i="3"/>
  <c r="G1839" i="3"/>
  <c r="F1839" i="3"/>
  <c r="D1839" i="3"/>
  <c r="A1839" i="3"/>
  <c r="H1838" i="3"/>
  <c r="G1838" i="3"/>
  <c r="F1838" i="3"/>
  <c r="D1838" i="3"/>
  <c r="A1838" i="3"/>
  <c r="H1837" i="3"/>
  <c r="G1837" i="3"/>
  <c r="F1837" i="3"/>
  <c r="D1837" i="3"/>
  <c r="A1837" i="3"/>
  <c r="H1836" i="3"/>
  <c r="G1836" i="3"/>
  <c r="F1836" i="3"/>
  <c r="D1836" i="3"/>
  <c r="A1836" i="3"/>
  <c r="H1835" i="3"/>
  <c r="G1835" i="3"/>
  <c r="F1835" i="3"/>
  <c r="D1835" i="3"/>
  <c r="A1835" i="3"/>
  <c r="H1834" i="3"/>
  <c r="G1834" i="3"/>
  <c r="F1834" i="3"/>
  <c r="D1834" i="3"/>
  <c r="A1834" i="3"/>
  <c r="H1833" i="3"/>
  <c r="G1833" i="3"/>
  <c r="F1833" i="3"/>
  <c r="D1833" i="3"/>
  <c r="A1833" i="3"/>
  <c r="H1832" i="3"/>
  <c r="G1832" i="3"/>
  <c r="F1832" i="3"/>
  <c r="D1832" i="3"/>
  <c r="A1832" i="3"/>
  <c r="H1831" i="3"/>
  <c r="G1831" i="3"/>
  <c r="F1831" i="3"/>
  <c r="D1831" i="3"/>
  <c r="A1831" i="3"/>
  <c r="H1830" i="3"/>
  <c r="G1830" i="3"/>
  <c r="F1830" i="3"/>
  <c r="D1830" i="3"/>
  <c r="A1830" i="3"/>
  <c r="H1829" i="3"/>
  <c r="G1829" i="3"/>
  <c r="F1829" i="3"/>
  <c r="D1829" i="3"/>
  <c r="A1829" i="3"/>
  <c r="H1828" i="3"/>
  <c r="G1828" i="3"/>
  <c r="F1828" i="3"/>
  <c r="D1828" i="3"/>
  <c r="A1828" i="3"/>
  <c r="H1827" i="3"/>
  <c r="G1827" i="3"/>
  <c r="F1827" i="3"/>
  <c r="D1827" i="3"/>
  <c r="A1827" i="3"/>
  <c r="H1826" i="3"/>
  <c r="G1826" i="3"/>
  <c r="F1826" i="3"/>
  <c r="D1826" i="3"/>
  <c r="A1826" i="3"/>
  <c r="H1825" i="3"/>
  <c r="G1825" i="3"/>
  <c r="F1825" i="3"/>
  <c r="D1825" i="3"/>
  <c r="A1825" i="3"/>
  <c r="H1824" i="3"/>
  <c r="G1824" i="3"/>
  <c r="F1824" i="3"/>
  <c r="D1824" i="3"/>
  <c r="A1824" i="3"/>
  <c r="H1823" i="3"/>
  <c r="G1823" i="3"/>
  <c r="F1823" i="3"/>
  <c r="D1823" i="3"/>
  <c r="A1823" i="3"/>
  <c r="H1822" i="3"/>
  <c r="G1822" i="3"/>
  <c r="F1822" i="3"/>
  <c r="D1822" i="3"/>
  <c r="A1822" i="3"/>
  <c r="H1821" i="3"/>
  <c r="G1821" i="3"/>
  <c r="F1821" i="3"/>
  <c r="D1821" i="3"/>
  <c r="A1821" i="3"/>
  <c r="H1820" i="3"/>
  <c r="G1820" i="3"/>
  <c r="F1820" i="3"/>
  <c r="D1820" i="3"/>
  <c r="A1820" i="3"/>
  <c r="H1819" i="3"/>
  <c r="G1819" i="3"/>
  <c r="F1819" i="3"/>
  <c r="D1819" i="3"/>
  <c r="A1819" i="3"/>
  <c r="H1818" i="3"/>
  <c r="G1818" i="3"/>
  <c r="F1818" i="3"/>
  <c r="D1818" i="3"/>
  <c r="A1818" i="3"/>
  <c r="J1817" i="3"/>
  <c r="H1817" i="3"/>
  <c r="G1817" i="3"/>
  <c r="F1817" i="3"/>
  <c r="D1817" i="3"/>
  <c r="A1817" i="3"/>
  <c r="H1816" i="3"/>
  <c r="G1816" i="3"/>
  <c r="F1816" i="3"/>
  <c r="D1816" i="3"/>
  <c r="A1816" i="3"/>
  <c r="H1815" i="3"/>
  <c r="G1815" i="3"/>
  <c r="F1815" i="3"/>
  <c r="D1815" i="3"/>
  <c r="A1815" i="3"/>
  <c r="H1814" i="3"/>
  <c r="G1814" i="3"/>
  <c r="F1814" i="3"/>
  <c r="D1814" i="3"/>
  <c r="A1814" i="3"/>
  <c r="H1813" i="3"/>
  <c r="G1813" i="3"/>
  <c r="F1813" i="3"/>
  <c r="D1813" i="3"/>
  <c r="A1813" i="3"/>
  <c r="H1812" i="3"/>
  <c r="G1812" i="3"/>
  <c r="F1812" i="3"/>
  <c r="D1812" i="3"/>
  <c r="A1812" i="3"/>
  <c r="H1811" i="3"/>
  <c r="G1811" i="3"/>
  <c r="F1811" i="3"/>
  <c r="D1811" i="3"/>
  <c r="A1811" i="3"/>
  <c r="H1810" i="3"/>
  <c r="G1810" i="3"/>
  <c r="F1810" i="3"/>
  <c r="D1810" i="3"/>
  <c r="A1810" i="3"/>
  <c r="H1809" i="3"/>
  <c r="G1809" i="3"/>
  <c r="F1809" i="3"/>
  <c r="D1809" i="3"/>
  <c r="A1809" i="3"/>
  <c r="J1808" i="3"/>
  <c r="H1808" i="3"/>
  <c r="G1808" i="3"/>
  <c r="F1808" i="3"/>
  <c r="D1808" i="3"/>
  <c r="A1808" i="3"/>
  <c r="H1807" i="3"/>
  <c r="G1807" i="3"/>
  <c r="F1807" i="3"/>
  <c r="D1807" i="3"/>
  <c r="A1807" i="3"/>
  <c r="J1806" i="3"/>
  <c r="H1806" i="3"/>
  <c r="G1806" i="3"/>
  <c r="F1806" i="3"/>
  <c r="D1806" i="3"/>
  <c r="A1806" i="3"/>
  <c r="J1805" i="3"/>
  <c r="H1805" i="3"/>
  <c r="G1805" i="3"/>
  <c r="F1805" i="3"/>
  <c r="D1805" i="3"/>
  <c r="A1805" i="3"/>
  <c r="H1804" i="3"/>
  <c r="G1804" i="3"/>
  <c r="F1804" i="3"/>
  <c r="D1804" i="3"/>
  <c r="A1804" i="3"/>
  <c r="H1803" i="3"/>
  <c r="G1803" i="3"/>
  <c r="F1803" i="3"/>
  <c r="D1803" i="3"/>
  <c r="A1803" i="3"/>
  <c r="H1802" i="3"/>
  <c r="G1802" i="3"/>
  <c r="F1802" i="3"/>
  <c r="D1802" i="3"/>
  <c r="A1802" i="3"/>
  <c r="H1801" i="3"/>
  <c r="G1801" i="3"/>
  <c r="F1801" i="3"/>
  <c r="D1801" i="3"/>
  <c r="A1801" i="3"/>
  <c r="J1800" i="3"/>
  <c r="H1800" i="3"/>
  <c r="G1800" i="3"/>
  <c r="F1800" i="3"/>
  <c r="D1800" i="3"/>
  <c r="A1800" i="3"/>
  <c r="J1799" i="3"/>
  <c r="H1799" i="3"/>
  <c r="G1799" i="3"/>
  <c r="F1799" i="3"/>
  <c r="D1799" i="3"/>
  <c r="A1799" i="3"/>
  <c r="J1798" i="3"/>
  <c r="H1798" i="3"/>
  <c r="G1798" i="3"/>
  <c r="F1798" i="3"/>
  <c r="D1798" i="3"/>
  <c r="A1798" i="3"/>
  <c r="H1797" i="3"/>
  <c r="G1797" i="3"/>
  <c r="F1797" i="3"/>
  <c r="D1797" i="3"/>
  <c r="A1797" i="3"/>
  <c r="H1796" i="3"/>
  <c r="G1796" i="3"/>
  <c r="F1796" i="3"/>
  <c r="D1796" i="3"/>
  <c r="A1796" i="3"/>
  <c r="H1795" i="3"/>
  <c r="G1795" i="3"/>
  <c r="F1795" i="3"/>
  <c r="D1795" i="3"/>
  <c r="A1795" i="3"/>
  <c r="H1794" i="3"/>
  <c r="G1794" i="3"/>
  <c r="F1794" i="3"/>
  <c r="D1794" i="3"/>
  <c r="A1794" i="3"/>
  <c r="H1793" i="3"/>
  <c r="G1793" i="3"/>
  <c r="F1793" i="3"/>
  <c r="D1793" i="3"/>
  <c r="A1793" i="3"/>
  <c r="H1792" i="3"/>
  <c r="G1792" i="3"/>
  <c r="F1792" i="3"/>
  <c r="D1792" i="3"/>
  <c r="A1792" i="3"/>
  <c r="H1791" i="3"/>
  <c r="G1791" i="3"/>
  <c r="F1791" i="3"/>
  <c r="D1791" i="3"/>
  <c r="A1791" i="3"/>
  <c r="H1790" i="3"/>
  <c r="G1790" i="3"/>
  <c r="F1790" i="3"/>
  <c r="D1790" i="3"/>
  <c r="A1790" i="3"/>
  <c r="H1789" i="3"/>
  <c r="G1789" i="3"/>
  <c r="F1789" i="3"/>
  <c r="D1789" i="3"/>
  <c r="A1789" i="3"/>
  <c r="H1788" i="3"/>
  <c r="G1788" i="3"/>
  <c r="F1788" i="3"/>
  <c r="D1788" i="3"/>
  <c r="A1788" i="3"/>
  <c r="H1787" i="3"/>
  <c r="G1787" i="3"/>
  <c r="F1787" i="3"/>
  <c r="D1787" i="3"/>
  <c r="A1787" i="3"/>
  <c r="H1786" i="3"/>
  <c r="G1786" i="3"/>
  <c r="F1786" i="3"/>
  <c r="D1786" i="3"/>
  <c r="A1786" i="3"/>
  <c r="H1785" i="3"/>
  <c r="G1785" i="3"/>
  <c r="F1785" i="3"/>
  <c r="D1785" i="3"/>
  <c r="A1785" i="3"/>
  <c r="H1784" i="3"/>
  <c r="G1784" i="3"/>
  <c r="F1784" i="3"/>
  <c r="D1784" i="3"/>
  <c r="A1784" i="3"/>
  <c r="H1783" i="3"/>
  <c r="G1783" i="3"/>
  <c r="D1783" i="3"/>
  <c r="A1783" i="3"/>
  <c r="J1782" i="3"/>
  <c r="H1782" i="3"/>
  <c r="G1782" i="3"/>
  <c r="F1782" i="3"/>
  <c r="D1782" i="3"/>
  <c r="A1782" i="3"/>
  <c r="H1781" i="3"/>
  <c r="G1781" i="3"/>
  <c r="D1781" i="3"/>
  <c r="A1781" i="3"/>
  <c r="H1780" i="3"/>
  <c r="G1780" i="3"/>
  <c r="F1780" i="3"/>
  <c r="D1780" i="3"/>
  <c r="A1780" i="3"/>
  <c r="H1779" i="3"/>
  <c r="G1779" i="3"/>
  <c r="F1779" i="3"/>
  <c r="D1779" i="3"/>
  <c r="A1779" i="3"/>
  <c r="H1778" i="3"/>
  <c r="G1778" i="3"/>
  <c r="F1778" i="3"/>
  <c r="D1778" i="3"/>
  <c r="A1778" i="3"/>
  <c r="H1777" i="3"/>
  <c r="G1777" i="3"/>
  <c r="F1777" i="3"/>
  <c r="D1777" i="3"/>
  <c r="A1777" i="3"/>
  <c r="H1776" i="3"/>
  <c r="G1776" i="3"/>
  <c r="F1776" i="3"/>
  <c r="D1776" i="3"/>
  <c r="A1776" i="3"/>
  <c r="H1775" i="3"/>
  <c r="G1775" i="3"/>
  <c r="F1775" i="3"/>
  <c r="D1775" i="3"/>
  <c r="A1775" i="3"/>
  <c r="H1774" i="3"/>
  <c r="G1774" i="3"/>
  <c r="F1774" i="3"/>
  <c r="D1774" i="3"/>
  <c r="A1774" i="3"/>
  <c r="H1773" i="3"/>
  <c r="G1773" i="3"/>
  <c r="F1773" i="3"/>
  <c r="D1773" i="3"/>
  <c r="A1773" i="3"/>
  <c r="H1772" i="3"/>
  <c r="G1772" i="3"/>
  <c r="F1772" i="3"/>
  <c r="D1772" i="3"/>
  <c r="A1772" i="3"/>
  <c r="H1771" i="3"/>
  <c r="G1771" i="3"/>
  <c r="F1771" i="3"/>
  <c r="D1771" i="3"/>
  <c r="A1771" i="3"/>
  <c r="H1770" i="3"/>
  <c r="G1770" i="3"/>
  <c r="F1770" i="3"/>
  <c r="D1770" i="3"/>
  <c r="A1770" i="3"/>
  <c r="H1769" i="3"/>
  <c r="G1769" i="3"/>
  <c r="F1769" i="3"/>
  <c r="D1769" i="3"/>
  <c r="A1769" i="3"/>
  <c r="H1768" i="3"/>
  <c r="G1768" i="3"/>
  <c r="F1768" i="3"/>
  <c r="D1768" i="3"/>
  <c r="A1768" i="3"/>
  <c r="J1767" i="3"/>
  <c r="H1767" i="3"/>
  <c r="G1767" i="3"/>
  <c r="F1767" i="3"/>
  <c r="D1767" i="3"/>
  <c r="A1767" i="3"/>
  <c r="H1766" i="3"/>
  <c r="G1766" i="3"/>
  <c r="F1766" i="3"/>
  <c r="D1766" i="3"/>
  <c r="A1766" i="3"/>
  <c r="H1765" i="3"/>
  <c r="G1765" i="3"/>
  <c r="F1765" i="3"/>
  <c r="D1765" i="3"/>
  <c r="A1765" i="3"/>
  <c r="H1764" i="3"/>
  <c r="G1764" i="3"/>
  <c r="F1764" i="3"/>
  <c r="D1764" i="3"/>
  <c r="A1764" i="3"/>
  <c r="H1763" i="3"/>
  <c r="G1763" i="3"/>
  <c r="F1763" i="3"/>
  <c r="D1763" i="3"/>
  <c r="A1763" i="3"/>
  <c r="H1762" i="3"/>
  <c r="G1762" i="3"/>
  <c r="F1762" i="3"/>
  <c r="D1762" i="3"/>
  <c r="A1762" i="3"/>
  <c r="H1761" i="3"/>
  <c r="G1761" i="3"/>
  <c r="F1761" i="3"/>
  <c r="D1761" i="3"/>
  <c r="A1761" i="3"/>
  <c r="H1760" i="3"/>
  <c r="G1760" i="3"/>
  <c r="F1760" i="3"/>
  <c r="D1760" i="3"/>
  <c r="A1760" i="3"/>
  <c r="H1759" i="3"/>
  <c r="G1759" i="3"/>
  <c r="F1759" i="3"/>
  <c r="D1759" i="3"/>
  <c r="A1759" i="3"/>
  <c r="H1758" i="3"/>
  <c r="G1758" i="3"/>
  <c r="F1758" i="3"/>
  <c r="D1758" i="3"/>
  <c r="A1758" i="3"/>
  <c r="J1757" i="3"/>
  <c r="H1757" i="3"/>
  <c r="G1757" i="3"/>
  <c r="F1757" i="3"/>
  <c r="D1757" i="3"/>
  <c r="A1757" i="3"/>
  <c r="J1756" i="3"/>
  <c r="H1756" i="3"/>
  <c r="G1756" i="3"/>
  <c r="F1756" i="3"/>
  <c r="D1756" i="3"/>
  <c r="A1756" i="3"/>
  <c r="J1755" i="3"/>
  <c r="H1755" i="3"/>
  <c r="G1755" i="3"/>
  <c r="F1755" i="3"/>
  <c r="D1755" i="3"/>
  <c r="A1755" i="3"/>
  <c r="J1754" i="3"/>
  <c r="H1754" i="3"/>
  <c r="G1754" i="3"/>
  <c r="F1754" i="3"/>
  <c r="D1754" i="3"/>
  <c r="A1754" i="3"/>
  <c r="J1753" i="3"/>
  <c r="H1753" i="3"/>
  <c r="G1753" i="3"/>
  <c r="F1753" i="3"/>
  <c r="D1753" i="3"/>
  <c r="A1753" i="3"/>
  <c r="H1752" i="3"/>
  <c r="G1752" i="3"/>
  <c r="F1752" i="3"/>
  <c r="D1752" i="3"/>
  <c r="A1752" i="3"/>
  <c r="H1751" i="3"/>
  <c r="G1751" i="3"/>
  <c r="F1751" i="3"/>
  <c r="D1751" i="3"/>
  <c r="A1751" i="3"/>
  <c r="H1750" i="3"/>
  <c r="G1750" i="3"/>
  <c r="F1750" i="3"/>
  <c r="D1750" i="3"/>
  <c r="A1750" i="3"/>
  <c r="H1749" i="3"/>
  <c r="G1749" i="3"/>
  <c r="F1749" i="3"/>
  <c r="D1749" i="3"/>
  <c r="A1749" i="3"/>
  <c r="H1748" i="3"/>
  <c r="G1748" i="3"/>
  <c r="F1748" i="3"/>
  <c r="D1748" i="3"/>
  <c r="A1748" i="3"/>
  <c r="H1747" i="3"/>
  <c r="G1747" i="3"/>
  <c r="F1747" i="3"/>
  <c r="D1747" i="3"/>
  <c r="A1747" i="3"/>
  <c r="H1746" i="3"/>
  <c r="G1746" i="3"/>
  <c r="F1746" i="3"/>
  <c r="D1746" i="3"/>
  <c r="A1746" i="3"/>
  <c r="H1745" i="3"/>
  <c r="G1745" i="3"/>
  <c r="F1745" i="3"/>
  <c r="D1745" i="3"/>
  <c r="A1745" i="3"/>
  <c r="H1744" i="3"/>
  <c r="G1744" i="3"/>
  <c r="F1744" i="3"/>
  <c r="D1744" i="3"/>
  <c r="A1744" i="3"/>
  <c r="H1743" i="3"/>
  <c r="G1743" i="3"/>
  <c r="F1743" i="3"/>
  <c r="D1743" i="3"/>
  <c r="A1743" i="3"/>
  <c r="H1742" i="3"/>
  <c r="G1742" i="3"/>
  <c r="F1742" i="3"/>
  <c r="D1742" i="3"/>
  <c r="A1742" i="3"/>
  <c r="H1741" i="3"/>
  <c r="G1741" i="3"/>
  <c r="F1741" i="3"/>
  <c r="D1741" i="3"/>
  <c r="A1741" i="3"/>
  <c r="H1740" i="3"/>
  <c r="G1740" i="3"/>
  <c r="F1740" i="3"/>
  <c r="D1740" i="3"/>
  <c r="A1740" i="3"/>
  <c r="H1739" i="3"/>
  <c r="G1739" i="3"/>
  <c r="F1739" i="3"/>
  <c r="D1739" i="3"/>
  <c r="A1739" i="3"/>
  <c r="H1738" i="3"/>
  <c r="G1738" i="3"/>
  <c r="F1738" i="3"/>
  <c r="D1738" i="3"/>
  <c r="A1738" i="3"/>
  <c r="H1737" i="3"/>
  <c r="G1737" i="3"/>
  <c r="F1737" i="3"/>
  <c r="D1737" i="3"/>
  <c r="A1737" i="3"/>
  <c r="H1736" i="3"/>
  <c r="G1736" i="3"/>
  <c r="F1736" i="3"/>
  <c r="D1736" i="3"/>
  <c r="A1736" i="3"/>
  <c r="H1735" i="3"/>
  <c r="G1735" i="3"/>
  <c r="F1735" i="3"/>
  <c r="D1735" i="3"/>
  <c r="A1735" i="3"/>
  <c r="H1734" i="3"/>
  <c r="G1734" i="3"/>
  <c r="F1734" i="3"/>
  <c r="D1734" i="3"/>
  <c r="A1734" i="3"/>
  <c r="H1733" i="3"/>
  <c r="G1733" i="3"/>
  <c r="F1733" i="3"/>
  <c r="D1733" i="3"/>
  <c r="A1733" i="3"/>
  <c r="H1732" i="3"/>
  <c r="G1732" i="3"/>
  <c r="F1732" i="3"/>
  <c r="D1732" i="3"/>
  <c r="A1732" i="3"/>
  <c r="J1731" i="3"/>
  <c r="H1731" i="3"/>
  <c r="G1731" i="3"/>
  <c r="F1731" i="3"/>
  <c r="D1731" i="3"/>
  <c r="A1731" i="3"/>
  <c r="H1730" i="3"/>
  <c r="G1730" i="3"/>
  <c r="F1730" i="3"/>
  <c r="D1730" i="3"/>
  <c r="A1730" i="3"/>
  <c r="H1729" i="3"/>
  <c r="G1729" i="3"/>
  <c r="F1729" i="3"/>
  <c r="D1729" i="3"/>
  <c r="A1729" i="3"/>
  <c r="H1728" i="3"/>
  <c r="G1728" i="3"/>
  <c r="F1728" i="3"/>
  <c r="D1728" i="3"/>
  <c r="A1728" i="3"/>
  <c r="H1727" i="3"/>
  <c r="G1727" i="3"/>
  <c r="F1727" i="3"/>
  <c r="D1727" i="3"/>
  <c r="A1727" i="3"/>
  <c r="H1726" i="3"/>
  <c r="G1726" i="3"/>
  <c r="F1726" i="3"/>
  <c r="D1726" i="3"/>
  <c r="A1726" i="3"/>
  <c r="H1725" i="3"/>
  <c r="G1725" i="3"/>
  <c r="F1725" i="3"/>
  <c r="D1725" i="3"/>
  <c r="A1725" i="3"/>
  <c r="H1724" i="3"/>
  <c r="G1724" i="3"/>
  <c r="F1724" i="3"/>
  <c r="D1724" i="3"/>
  <c r="A1724" i="3"/>
  <c r="H1723" i="3"/>
  <c r="G1723" i="3"/>
  <c r="F1723" i="3"/>
  <c r="D1723" i="3"/>
  <c r="A1723" i="3"/>
  <c r="H1722" i="3"/>
  <c r="G1722" i="3"/>
  <c r="F1722" i="3"/>
  <c r="D1722" i="3"/>
  <c r="A1722" i="3"/>
  <c r="H1721" i="3"/>
  <c r="G1721" i="3"/>
  <c r="F1721" i="3"/>
  <c r="D1721" i="3"/>
  <c r="A1721" i="3"/>
  <c r="J1720" i="3"/>
  <c r="H1720" i="3"/>
  <c r="G1720" i="3"/>
  <c r="F1720" i="3"/>
  <c r="D1720" i="3"/>
  <c r="A1720" i="3"/>
  <c r="H1719" i="3"/>
  <c r="G1719" i="3"/>
  <c r="F1719" i="3"/>
  <c r="D1719" i="3"/>
  <c r="A1719" i="3"/>
  <c r="H1718" i="3"/>
  <c r="G1718" i="3"/>
  <c r="F1718" i="3"/>
  <c r="D1718" i="3"/>
  <c r="A1718" i="3"/>
  <c r="H1717" i="3"/>
  <c r="G1717" i="3"/>
  <c r="F1717" i="3"/>
  <c r="D1717" i="3"/>
  <c r="A1717" i="3"/>
  <c r="H1716" i="3"/>
  <c r="G1716" i="3"/>
  <c r="F1716" i="3"/>
  <c r="D1716" i="3"/>
  <c r="A1716" i="3"/>
  <c r="H1715" i="3"/>
  <c r="G1715" i="3"/>
  <c r="F1715" i="3"/>
  <c r="D1715" i="3"/>
  <c r="A1715" i="3"/>
  <c r="H1714" i="3"/>
  <c r="G1714" i="3"/>
  <c r="F1714" i="3"/>
  <c r="D1714" i="3"/>
  <c r="A1714" i="3"/>
  <c r="H1713" i="3"/>
  <c r="G1713" i="3"/>
  <c r="F1713" i="3"/>
  <c r="D1713" i="3"/>
  <c r="A1713" i="3"/>
  <c r="J1712" i="3"/>
  <c r="H1712" i="3"/>
  <c r="G1712" i="3"/>
  <c r="F1712" i="3"/>
  <c r="D1712" i="3"/>
  <c r="A1712" i="3"/>
  <c r="J1711" i="3"/>
  <c r="H1711" i="3"/>
  <c r="G1711" i="3"/>
  <c r="F1711" i="3"/>
  <c r="D1711" i="3"/>
  <c r="A1711" i="3"/>
  <c r="J1710" i="3"/>
  <c r="H1710" i="3"/>
  <c r="G1710" i="3"/>
  <c r="F1710" i="3"/>
  <c r="D1710" i="3"/>
  <c r="A1710" i="3"/>
  <c r="J1709" i="3"/>
  <c r="H1709" i="3"/>
  <c r="G1709" i="3"/>
  <c r="F1709" i="3"/>
  <c r="D1709" i="3"/>
  <c r="A1709" i="3"/>
  <c r="J1708" i="3"/>
  <c r="H1708" i="3"/>
  <c r="G1708" i="3"/>
  <c r="F1708" i="3"/>
  <c r="D1708" i="3"/>
  <c r="A1708" i="3"/>
  <c r="H1707" i="3"/>
  <c r="G1707" i="3"/>
  <c r="F1707" i="3"/>
  <c r="D1707" i="3"/>
  <c r="A1707" i="3"/>
  <c r="H1706" i="3"/>
  <c r="G1706" i="3"/>
  <c r="F1706" i="3"/>
  <c r="D1706" i="3"/>
  <c r="A1706" i="3"/>
  <c r="H1705" i="3"/>
  <c r="G1705" i="3"/>
  <c r="F1705" i="3"/>
  <c r="D1705" i="3"/>
  <c r="A1705" i="3"/>
  <c r="H1704" i="3"/>
  <c r="G1704" i="3"/>
  <c r="F1704" i="3"/>
  <c r="D1704" i="3"/>
  <c r="A1704" i="3"/>
  <c r="H1703" i="3"/>
  <c r="G1703" i="3"/>
  <c r="F1703" i="3"/>
  <c r="D1703" i="3"/>
  <c r="A1703" i="3"/>
  <c r="H1702" i="3"/>
  <c r="G1702" i="3"/>
  <c r="F1702" i="3"/>
  <c r="D1702" i="3"/>
  <c r="A1702" i="3"/>
  <c r="J1701" i="3"/>
  <c r="H1701" i="3"/>
  <c r="G1701" i="3"/>
  <c r="F1701" i="3"/>
  <c r="D1701" i="3"/>
  <c r="A1701" i="3"/>
  <c r="H1700" i="3"/>
  <c r="G1700" i="3"/>
  <c r="F1700" i="3"/>
  <c r="D1700" i="3"/>
  <c r="A1700" i="3"/>
  <c r="J1699" i="3"/>
  <c r="H1699" i="3"/>
  <c r="G1699" i="3"/>
  <c r="F1699" i="3"/>
  <c r="D1699" i="3"/>
  <c r="A1699" i="3"/>
  <c r="H1698" i="3"/>
  <c r="G1698" i="3"/>
  <c r="F1698" i="3"/>
  <c r="D1698" i="3"/>
  <c r="A1698" i="3"/>
  <c r="J1697" i="3"/>
  <c r="H1697" i="3"/>
  <c r="G1697" i="3"/>
  <c r="F1697" i="3"/>
  <c r="D1697" i="3"/>
  <c r="A1697" i="3"/>
  <c r="J1696" i="3"/>
  <c r="H1696" i="3"/>
  <c r="G1696" i="3"/>
  <c r="F1696" i="3"/>
  <c r="D1696" i="3"/>
  <c r="A1696" i="3"/>
  <c r="H1695" i="3"/>
  <c r="G1695" i="3"/>
  <c r="F1695" i="3"/>
  <c r="D1695" i="3"/>
  <c r="A1695" i="3"/>
  <c r="H1694" i="3"/>
  <c r="G1694" i="3"/>
  <c r="F1694" i="3"/>
  <c r="D1694" i="3"/>
  <c r="A1694" i="3"/>
  <c r="H1693" i="3"/>
  <c r="G1693" i="3"/>
  <c r="F1693" i="3"/>
  <c r="D1693" i="3"/>
  <c r="A1693" i="3"/>
  <c r="H1692" i="3"/>
  <c r="G1692" i="3"/>
  <c r="F1692" i="3"/>
  <c r="D1692" i="3"/>
  <c r="A1692" i="3"/>
  <c r="H1691" i="3"/>
  <c r="G1691" i="3"/>
  <c r="F1691" i="3"/>
  <c r="D1691" i="3"/>
  <c r="A1691" i="3"/>
  <c r="H1690" i="3"/>
  <c r="G1690" i="3"/>
  <c r="F1690" i="3"/>
  <c r="D1690" i="3"/>
  <c r="A1690" i="3"/>
  <c r="H1689" i="3"/>
  <c r="G1689" i="3"/>
  <c r="F1689" i="3"/>
  <c r="D1689" i="3"/>
  <c r="A1689" i="3"/>
  <c r="H1688" i="3"/>
  <c r="G1688" i="3"/>
  <c r="F1688" i="3"/>
  <c r="D1688" i="3"/>
  <c r="A1688" i="3"/>
  <c r="H1687" i="3"/>
  <c r="G1687" i="3"/>
  <c r="F1687" i="3"/>
  <c r="D1687" i="3"/>
  <c r="A1687" i="3"/>
  <c r="H1686" i="3"/>
  <c r="G1686" i="3"/>
  <c r="F1686" i="3"/>
  <c r="D1686" i="3"/>
  <c r="A1686" i="3"/>
  <c r="H1685" i="3"/>
  <c r="G1685" i="3"/>
  <c r="F1685" i="3"/>
  <c r="D1685" i="3"/>
  <c r="A1685" i="3"/>
  <c r="J1684" i="3"/>
  <c r="H1684" i="3"/>
  <c r="G1684" i="3"/>
  <c r="F1684" i="3"/>
  <c r="D1684" i="3"/>
  <c r="A1684" i="3"/>
  <c r="H1683" i="3"/>
  <c r="G1683" i="3"/>
  <c r="F1683" i="3"/>
  <c r="D1683" i="3"/>
  <c r="A1683" i="3"/>
  <c r="J1682" i="3"/>
  <c r="H1682" i="3"/>
  <c r="G1682" i="3"/>
  <c r="F1682" i="3"/>
  <c r="D1682" i="3"/>
  <c r="A1682" i="3"/>
  <c r="H1681" i="3"/>
  <c r="G1681" i="3"/>
  <c r="F1681" i="3"/>
  <c r="D1681" i="3"/>
  <c r="A1681" i="3"/>
  <c r="H1680" i="3"/>
  <c r="G1680" i="3"/>
  <c r="F1680" i="3"/>
  <c r="D1680" i="3"/>
  <c r="A1680" i="3"/>
  <c r="H1679" i="3"/>
  <c r="G1679" i="3"/>
  <c r="F1679" i="3"/>
  <c r="D1679" i="3"/>
  <c r="A1679" i="3"/>
  <c r="H1678" i="3"/>
  <c r="G1678" i="3"/>
  <c r="F1678" i="3"/>
  <c r="D1678" i="3"/>
  <c r="A1678" i="3"/>
  <c r="H1677" i="3"/>
  <c r="G1677" i="3"/>
  <c r="F1677" i="3"/>
  <c r="D1677" i="3"/>
  <c r="A1677" i="3"/>
  <c r="H1676" i="3"/>
  <c r="G1676" i="3"/>
  <c r="F1676" i="3"/>
  <c r="D1676" i="3"/>
  <c r="A1676" i="3"/>
  <c r="H1675" i="3"/>
  <c r="G1675" i="3"/>
  <c r="F1675" i="3"/>
  <c r="D1675" i="3"/>
  <c r="A1675" i="3"/>
  <c r="H1674" i="3"/>
  <c r="G1674" i="3"/>
  <c r="F1674" i="3"/>
  <c r="D1674" i="3"/>
  <c r="A1674" i="3"/>
  <c r="H1673" i="3"/>
  <c r="G1673" i="3"/>
  <c r="F1673" i="3"/>
  <c r="D1673" i="3"/>
  <c r="A1673" i="3"/>
  <c r="H1672" i="3"/>
  <c r="G1672" i="3"/>
  <c r="F1672" i="3"/>
  <c r="D1672" i="3"/>
  <c r="A1672" i="3"/>
  <c r="H1671" i="3"/>
  <c r="G1671" i="3"/>
  <c r="F1671" i="3"/>
  <c r="D1671" i="3"/>
  <c r="A1671" i="3"/>
  <c r="J1670" i="3"/>
  <c r="H1670" i="3"/>
  <c r="G1670" i="3"/>
  <c r="F1670" i="3"/>
  <c r="D1670" i="3"/>
  <c r="A1670" i="3"/>
  <c r="H1669" i="3"/>
  <c r="G1669" i="3"/>
  <c r="F1669" i="3"/>
  <c r="D1669" i="3"/>
  <c r="A1669" i="3"/>
  <c r="H1668" i="3"/>
  <c r="G1668" i="3"/>
  <c r="F1668" i="3"/>
  <c r="D1668" i="3"/>
  <c r="A1668" i="3"/>
  <c r="H1667" i="3"/>
  <c r="G1667" i="3"/>
  <c r="F1667" i="3"/>
  <c r="D1667" i="3"/>
  <c r="A1667" i="3"/>
  <c r="J1666" i="3"/>
  <c r="H1666" i="3"/>
  <c r="G1666" i="3"/>
  <c r="F1666" i="3"/>
  <c r="D1666" i="3"/>
  <c r="A1666" i="3"/>
  <c r="H1665" i="3"/>
  <c r="G1665" i="3"/>
  <c r="F1665" i="3"/>
  <c r="D1665" i="3"/>
  <c r="A1665" i="3"/>
  <c r="H1664" i="3"/>
  <c r="G1664" i="3"/>
  <c r="F1664" i="3"/>
  <c r="D1664" i="3"/>
  <c r="A1664" i="3"/>
  <c r="J1663" i="3"/>
  <c r="H1663" i="3"/>
  <c r="G1663" i="3"/>
  <c r="F1663" i="3"/>
  <c r="D1663" i="3"/>
  <c r="A1663" i="3"/>
  <c r="J1662" i="3"/>
  <c r="H1662" i="3"/>
  <c r="G1662" i="3"/>
  <c r="F1662" i="3"/>
  <c r="D1662" i="3"/>
  <c r="A1662" i="3"/>
  <c r="H1661" i="3"/>
  <c r="G1661" i="3"/>
  <c r="F1661" i="3"/>
  <c r="D1661" i="3"/>
  <c r="A1661" i="3"/>
  <c r="H1660" i="3"/>
  <c r="G1660" i="3"/>
  <c r="F1660" i="3"/>
  <c r="D1660" i="3"/>
  <c r="A1660" i="3"/>
  <c r="J1659" i="3"/>
  <c r="H1659" i="3"/>
  <c r="G1659" i="3"/>
  <c r="F1659" i="3"/>
  <c r="D1659" i="3"/>
  <c r="A1659" i="3"/>
  <c r="H1658" i="3"/>
  <c r="G1658" i="3"/>
  <c r="F1658" i="3"/>
  <c r="D1658" i="3"/>
  <c r="A1658" i="3"/>
  <c r="H1657" i="3"/>
  <c r="G1657" i="3"/>
  <c r="F1657" i="3"/>
  <c r="D1657" i="3"/>
  <c r="A1657" i="3"/>
  <c r="H1656" i="3"/>
  <c r="G1656" i="3"/>
  <c r="F1656" i="3"/>
  <c r="D1656" i="3"/>
  <c r="A1656" i="3"/>
  <c r="H1655" i="3"/>
  <c r="G1655" i="3"/>
  <c r="F1655" i="3"/>
  <c r="D1655" i="3"/>
  <c r="A1655" i="3"/>
  <c r="H1654" i="3"/>
  <c r="G1654" i="3"/>
  <c r="F1654" i="3"/>
  <c r="D1654" i="3"/>
  <c r="A1654" i="3"/>
  <c r="H1653" i="3"/>
  <c r="G1653" i="3"/>
  <c r="F1653" i="3"/>
  <c r="D1653" i="3"/>
  <c r="A1653" i="3"/>
  <c r="H1652" i="3"/>
  <c r="G1652" i="3"/>
  <c r="F1652" i="3"/>
  <c r="D1652" i="3"/>
  <c r="A1652" i="3"/>
  <c r="H1651" i="3"/>
  <c r="G1651" i="3"/>
  <c r="F1651" i="3"/>
  <c r="D1651" i="3"/>
  <c r="A1651" i="3"/>
  <c r="H1650" i="3"/>
  <c r="G1650" i="3"/>
  <c r="F1650" i="3"/>
  <c r="D1650" i="3"/>
  <c r="A1650" i="3"/>
  <c r="H1649" i="3"/>
  <c r="G1649" i="3"/>
  <c r="F1649" i="3"/>
  <c r="D1649" i="3"/>
  <c r="A1649" i="3"/>
  <c r="H1648" i="3"/>
  <c r="G1648" i="3"/>
  <c r="F1648" i="3"/>
  <c r="D1648" i="3"/>
  <c r="A1648" i="3"/>
  <c r="J1647" i="3"/>
  <c r="H1647" i="3"/>
  <c r="G1647" i="3"/>
  <c r="F1647" i="3"/>
  <c r="D1647" i="3"/>
  <c r="A1647" i="3"/>
  <c r="H1646" i="3"/>
  <c r="G1646" i="3"/>
  <c r="F1646" i="3"/>
  <c r="D1646" i="3"/>
  <c r="A1646" i="3"/>
  <c r="J1645" i="3"/>
  <c r="H1645" i="3"/>
  <c r="G1645" i="3"/>
  <c r="F1645" i="3"/>
  <c r="D1645" i="3"/>
  <c r="A1645" i="3"/>
  <c r="H1644" i="3"/>
  <c r="G1644" i="3"/>
  <c r="F1644" i="3"/>
  <c r="D1644" i="3"/>
  <c r="A1644" i="3"/>
  <c r="H1643" i="3"/>
  <c r="G1643" i="3"/>
  <c r="F1643" i="3"/>
  <c r="D1643" i="3"/>
  <c r="A1643" i="3"/>
  <c r="H1642" i="3"/>
  <c r="G1642" i="3"/>
  <c r="F1642" i="3"/>
  <c r="D1642" i="3"/>
  <c r="A1642" i="3"/>
  <c r="H1641" i="3"/>
  <c r="G1641" i="3"/>
  <c r="F1641" i="3"/>
  <c r="D1641" i="3"/>
  <c r="A1641" i="3"/>
  <c r="H1640" i="3"/>
  <c r="G1640" i="3"/>
  <c r="F1640" i="3"/>
  <c r="D1640" i="3"/>
  <c r="A1640" i="3"/>
  <c r="H1639" i="3"/>
  <c r="G1639" i="3"/>
  <c r="F1639" i="3"/>
  <c r="D1639" i="3"/>
  <c r="A1639" i="3"/>
  <c r="J1638" i="3"/>
  <c r="H1638" i="3"/>
  <c r="G1638" i="3"/>
  <c r="F1638" i="3"/>
  <c r="D1638" i="3"/>
  <c r="A1638" i="3"/>
  <c r="H1637" i="3"/>
  <c r="G1637" i="3"/>
  <c r="F1637" i="3"/>
  <c r="D1637" i="3"/>
  <c r="A1637" i="3"/>
  <c r="H1636" i="3"/>
  <c r="G1636" i="3"/>
  <c r="F1636" i="3"/>
  <c r="D1636" i="3"/>
  <c r="A1636" i="3"/>
  <c r="H1635" i="3"/>
  <c r="G1635" i="3"/>
  <c r="F1635" i="3"/>
  <c r="D1635" i="3"/>
  <c r="A1635" i="3"/>
  <c r="J1634" i="3"/>
  <c r="H1634" i="3"/>
  <c r="G1634" i="3"/>
  <c r="F1634" i="3"/>
  <c r="D1634" i="3"/>
  <c r="A1634" i="3"/>
  <c r="H1633" i="3"/>
  <c r="G1633" i="3"/>
  <c r="F1633" i="3"/>
  <c r="D1633" i="3"/>
  <c r="A1633" i="3"/>
  <c r="H1632" i="3"/>
  <c r="G1632" i="3"/>
  <c r="F1632" i="3"/>
  <c r="D1632" i="3"/>
  <c r="A1632" i="3"/>
  <c r="H1631" i="3"/>
  <c r="G1631" i="3"/>
  <c r="F1631" i="3"/>
  <c r="D1631" i="3"/>
  <c r="A1631" i="3"/>
  <c r="H1630" i="3"/>
  <c r="G1630" i="3"/>
  <c r="F1630" i="3"/>
  <c r="D1630" i="3"/>
  <c r="A1630" i="3"/>
  <c r="J1629" i="3"/>
  <c r="H1629" i="3"/>
  <c r="G1629" i="3"/>
  <c r="F1629" i="3"/>
  <c r="D1629" i="3"/>
  <c r="A1629" i="3"/>
  <c r="H1628" i="3"/>
  <c r="G1628" i="3"/>
  <c r="F1628" i="3"/>
  <c r="D1628" i="3"/>
  <c r="A1628" i="3"/>
  <c r="J1627" i="3"/>
  <c r="H1627" i="3"/>
  <c r="G1627" i="3"/>
  <c r="F1627" i="3"/>
  <c r="D1627" i="3"/>
  <c r="A1627" i="3"/>
  <c r="J1626" i="3"/>
  <c r="H1626" i="3"/>
  <c r="G1626" i="3"/>
  <c r="F1626" i="3"/>
  <c r="D1626" i="3"/>
  <c r="A1626" i="3"/>
  <c r="H1625" i="3"/>
  <c r="G1625" i="3"/>
  <c r="F1625" i="3"/>
  <c r="D1625" i="3"/>
  <c r="A1625" i="3"/>
  <c r="H1624" i="3"/>
  <c r="G1624" i="3"/>
  <c r="F1624" i="3"/>
  <c r="D1624" i="3"/>
  <c r="A1624" i="3"/>
  <c r="H1623" i="3"/>
  <c r="G1623" i="3"/>
  <c r="F1623" i="3"/>
  <c r="D1623" i="3"/>
  <c r="A1623" i="3"/>
  <c r="J1622" i="3"/>
  <c r="H1622" i="3"/>
  <c r="G1622" i="3"/>
  <c r="F1622" i="3"/>
  <c r="D1622" i="3"/>
  <c r="A1622" i="3"/>
  <c r="J1621" i="3"/>
  <c r="H1621" i="3"/>
  <c r="G1621" i="3"/>
  <c r="F1621" i="3"/>
  <c r="D1621" i="3"/>
  <c r="A1621" i="3"/>
  <c r="J1620" i="3"/>
  <c r="H1620" i="3"/>
  <c r="G1620" i="3"/>
  <c r="F1620" i="3"/>
  <c r="D1620" i="3"/>
  <c r="A1620" i="3"/>
  <c r="H1619" i="3"/>
  <c r="G1619" i="3"/>
  <c r="F1619" i="3"/>
  <c r="D1619" i="3"/>
  <c r="A1619" i="3"/>
  <c r="J1618" i="3"/>
  <c r="H1618" i="3"/>
  <c r="G1618" i="3"/>
  <c r="F1618" i="3"/>
  <c r="D1618" i="3"/>
  <c r="A1618" i="3"/>
  <c r="H1617" i="3"/>
  <c r="G1617" i="3"/>
  <c r="F1617" i="3"/>
  <c r="D1617" i="3"/>
  <c r="A1617" i="3"/>
  <c r="H1616" i="3"/>
  <c r="G1616" i="3"/>
  <c r="F1616" i="3"/>
  <c r="D1616" i="3"/>
  <c r="A1616" i="3"/>
  <c r="H1615" i="3"/>
  <c r="G1615" i="3"/>
  <c r="F1615" i="3"/>
  <c r="D1615" i="3"/>
  <c r="A1615" i="3"/>
  <c r="J1614" i="3"/>
  <c r="H1614" i="3"/>
  <c r="G1614" i="3"/>
  <c r="F1614" i="3"/>
  <c r="D1614" i="3"/>
  <c r="A1614" i="3"/>
  <c r="H1613" i="3"/>
  <c r="G1613" i="3"/>
  <c r="F1613" i="3"/>
  <c r="D1613" i="3"/>
  <c r="A1613" i="3"/>
  <c r="H1612" i="3"/>
  <c r="G1612" i="3"/>
  <c r="F1612" i="3"/>
  <c r="D1612" i="3"/>
  <c r="A1612" i="3"/>
  <c r="H1611" i="3"/>
  <c r="G1611" i="3"/>
  <c r="F1611" i="3"/>
  <c r="D1611" i="3"/>
  <c r="A1611" i="3"/>
  <c r="H1610" i="3"/>
  <c r="G1610" i="3"/>
  <c r="F1610" i="3"/>
  <c r="D1610" i="3"/>
  <c r="A1610" i="3"/>
  <c r="H1609" i="3"/>
  <c r="G1609" i="3"/>
  <c r="F1609" i="3"/>
  <c r="D1609" i="3"/>
  <c r="A1609" i="3"/>
  <c r="H1608" i="3"/>
  <c r="G1608" i="3"/>
  <c r="F1608" i="3"/>
  <c r="D1608" i="3"/>
  <c r="A1608" i="3"/>
  <c r="H1607" i="3"/>
  <c r="G1607" i="3"/>
  <c r="F1607" i="3"/>
  <c r="D1607" i="3"/>
  <c r="A1607" i="3"/>
  <c r="H1606" i="3"/>
  <c r="G1606" i="3"/>
  <c r="F1606" i="3"/>
  <c r="D1606" i="3"/>
  <c r="A1606" i="3"/>
  <c r="H1605" i="3"/>
  <c r="G1605" i="3"/>
  <c r="F1605" i="3"/>
  <c r="D1605" i="3"/>
  <c r="A1605" i="3"/>
  <c r="H1604" i="3"/>
  <c r="G1604" i="3"/>
  <c r="F1604" i="3"/>
  <c r="D1604" i="3"/>
  <c r="A1604" i="3"/>
  <c r="J1603" i="3"/>
  <c r="H1603" i="3"/>
  <c r="G1603" i="3"/>
  <c r="F1603" i="3"/>
  <c r="D1603" i="3"/>
  <c r="A1603" i="3"/>
  <c r="H1602" i="3"/>
  <c r="G1602" i="3"/>
  <c r="F1602" i="3"/>
  <c r="D1602" i="3"/>
  <c r="A1602" i="3"/>
  <c r="J1601" i="3"/>
  <c r="H1601" i="3"/>
  <c r="G1601" i="3"/>
  <c r="F1601" i="3"/>
  <c r="D1601" i="3"/>
  <c r="A1601" i="3"/>
  <c r="H1600" i="3"/>
  <c r="G1600" i="3"/>
  <c r="F1600" i="3"/>
  <c r="D1600" i="3"/>
  <c r="A1600" i="3"/>
  <c r="H1599" i="3"/>
  <c r="G1599" i="3"/>
  <c r="F1599" i="3"/>
  <c r="D1599" i="3"/>
  <c r="A1599" i="3"/>
  <c r="H1598" i="3"/>
  <c r="G1598" i="3"/>
  <c r="F1598" i="3"/>
  <c r="D1598" i="3"/>
  <c r="A1598" i="3"/>
  <c r="J1597" i="3"/>
  <c r="H1597" i="3"/>
  <c r="G1597" i="3"/>
  <c r="F1597" i="3"/>
  <c r="D1597" i="3"/>
  <c r="A1597" i="3"/>
  <c r="H1596" i="3"/>
  <c r="G1596" i="3"/>
  <c r="F1596" i="3"/>
  <c r="D1596" i="3"/>
  <c r="A1596" i="3"/>
  <c r="H1595" i="3"/>
  <c r="G1595" i="3"/>
  <c r="F1595" i="3"/>
  <c r="D1595" i="3"/>
  <c r="A1595" i="3"/>
  <c r="J1594" i="3"/>
  <c r="H1594" i="3"/>
  <c r="G1594" i="3"/>
  <c r="F1594" i="3"/>
  <c r="D1594" i="3"/>
  <c r="A1594" i="3"/>
  <c r="J1593" i="3"/>
  <c r="H1593" i="3"/>
  <c r="G1593" i="3"/>
  <c r="F1593" i="3"/>
  <c r="D1593" i="3"/>
  <c r="A1593" i="3"/>
  <c r="H1592" i="3"/>
  <c r="G1592" i="3"/>
  <c r="F1592" i="3"/>
  <c r="D1592" i="3"/>
  <c r="A1592" i="3"/>
  <c r="H1591" i="3"/>
  <c r="G1591" i="3"/>
  <c r="F1591" i="3"/>
  <c r="D1591" i="3"/>
  <c r="A1591" i="3"/>
  <c r="H1590" i="3"/>
  <c r="G1590" i="3"/>
  <c r="F1590" i="3"/>
  <c r="D1590" i="3"/>
  <c r="A1590" i="3"/>
  <c r="H1589" i="3"/>
  <c r="G1589" i="3"/>
  <c r="F1589" i="3"/>
  <c r="D1589" i="3"/>
  <c r="A1589" i="3"/>
  <c r="J1588" i="3"/>
  <c r="H1588" i="3"/>
  <c r="G1588" i="3"/>
  <c r="F1588" i="3"/>
  <c r="D1588" i="3"/>
  <c r="A1588" i="3"/>
  <c r="H1587" i="3"/>
  <c r="G1587" i="3"/>
  <c r="F1587" i="3"/>
  <c r="A1587" i="3"/>
  <c r="J1586" i="3"/>
  <c r="H1586" i="3"/>
  <c r="G1586" i="3"/>
  <c r="F1586" i="3"/>
  <c r="D1586" i="3"/>
  <c r="A1586" i="3"/>
  <c r="H1585" i="3"/>
  <c r="G1585" i="3"/>
  <c r="F1585" i="3"/>
  <c r="D1585" i="3"/>
  <c r="A1585" i="3"/>
  <c r="H1584" i="3"/>
  <c r="G1584" i="3"/>
  <c r="F1584" i="3"/>
  <c r="D1584" i="3"/>
  <c r="A1584" i="3"/>
  <c r="H1583" i="3"/>
  <c r="G1583" i="3"/>
  <c r="F1583" i="3"/>
  <c r="D1583" i="3"/>
  <c r="A1583" i="3"/>
  <c r="H1582" i="3"/>
  <c r="G1582" i="3"/>
  <c r="F1582" i="3"/>
  <c r="D1582" i="3"/>
  <c r="A1582" i="3"/>
  <c r="H1581" i="3"/>
  <c r="G1581" i="3"/>
  <c r="F1581" i="3"/>
  <c r="D1581" i="3"/>
  <c r="A1581" i="3"/>
  <c r="J1580" i="3"/>
  <c r="H1580" i="3"/>
  <c r="G1580" i="3"/>
  <c r="F1580" i="3"/>
  <c r="D1580" i="3"/>
  <c r="A1580" i="3"/>
  <c r="J1579" i="3"/>
  <c r="H1579" i="3"/>
  <c r="G1579" i="3"/>
  <c r="F1579" i="3"/>
  <c r="D1579" i="3"/>
  <c r="A1579" i="3"/>
  <c r="H1578" i="3"/>
  <c r="G1578" i="3"/>
  <c r="F1578" i="3"/>
  <c r="D1578" i="3"/>
  <c r="A1578" i="3"/>
  <c r="H1577" i="3"/>
  <c r="G1577" i="3"/>
  <c r="F1577" i="3"/>
  <c r="D1577" i="3"/>
  <c r="A1577" i="3"/>
  <c r="H1576" i="3"/>
  <c r="G1576" i="3"/>
  <c r="F1576" i="3"/>
  <c r="D1576" i="3"/>
  <c r="A1576" i="3"/>
  <c r="H1575" i="3"/>
  <c r="G1575" i="3"/>
  <c r="F1575" i="3"/>
  <c r="D1575" i="3"/>
  <c r="A1575" i="3"/>
  <c r="H1574" i="3"/>
  <c r="G1574" i="3"/>
  <c r="F1574" i="3"/>
  <c r="D1574" i="3"/>
  <c r="A1574" i="3"/>
  <c r="H1573" i="3"/>
  <c r="G1573" i="3"/>
  <c r="F1573" i="3"/>
  <c r="D1573" i="3"/>
  <c r="A1573" i="3"/>
  <c r="H1572" i="3"/>
  <c r="G1572" i="3"/>
  <c r="F1572" i="3"/>
  <c r="D1572" i="3"/>
  <c r="A1572" i="3"/>
  <c r="H1571" i="3"/>
  <c r="G1571" i="3"/>
  <c r="F1571" i="3"/>
  <c r="D1571" i="3"/>
  <c r="A1571" i="3"/>
  <c r="H1570" i="3"/>
  <c r="G1570" i="3"/>
  <c r="F1570" i="3"/>
  <c r="D1570" i="3"/>
  <c r="A1570" i="3"/>
  <c r="J1569" i="3"/>
  <c r="H1569" i="3"/>
  <c r="G1569" i="3"/>
  <c r="F1569" i="3"/>
  <c r="D1569" i="3"/>
  <c r="A1569" i="3"/>
  <c r="H1568" i="3"/>
  <c r="G1568" i="3"/>
  <c r="F1568" i="3"/>
  <c r="D1568" i="3"/>
  <c r="A1568" i="3"/>
  <c r="H1567" i="3"/>
  <c r="G1567" i="3"/>
  <c r="F1567" i="3"/>
  <c r="D1567" i="3"/>
  <c r="A1567" i="3"/>
  <c r="H1566" i="3"/>
  <c r="G1566" i="3"/>
  <c r="F1566" i="3"/>
  <c r="D1566" i="3"/>
  <c r="A1566" i="3"/>
  <c r="H1565" i="3"/>
  <c r="G1565" i="3"/>
  <c r="F1565" i="3"/>
  <c r="D1565" i="3"/>
  <c r="A1565" i="3"/>
  <c r="H1564" i="3"/>
  <c r="G1564" i="3"/>
  <c r="F1564" i="3"/>
  <c r="D1564" i="3"/>
  <c r="A1564" i="3"/>
  <c r="H1563" i="3"/>
  <c r="G1563" i="3"/>
  <c r="F1563" i="3"/>
  <c r="D1563" i="3"/>
  <c r="A1563" i="3"/>
  <c r="H1562" i="3"/>
  <c r="G1562" i="3"/>
  <c r="F1562" i="3"/>
  <c r="D1562" i="3"/>
  <c r="A1562" i="3"/>
  <c r="H1561" i="3"/>
  <c r="G1561" i="3"/>
  <c r="F1561" i="3"/>
  <c r="D1561" i="3"/>
  <c r="A1561" i="3"/>
  <c r="H1560" i="3"/>
  <c r="G1560" i="3"/>
  <c r="F1560" i="3"/>
  <c r="D1560" i="3"/>
  <c r="A1560" i="3"/>
  <c r="H1559" i="3"/>
  <c r="G1559" i="3"/>
  <c r="F1559" i="3"/>
  <c r="D1559" i="3"/>
  <c r="A1559" i="3"/>
  <c r="H1558" i="3"/>
  <c r="G1558" i="3"/>
  <c r="F1558" i="3"/>
  <c r="D1558" i="3"/>
  <c r="A1558" i="3"/>
  <c r="H1557" i="3"/>
  <c r="G1557" i="3"/>
  <c r="F1557" i="3"/>
  <c r="D1557" i="3"/>
  <c r="A1557" i="3"/>
  <c r="J1556" i="3"/>
  <c r="H1556" i="3"/>
  <c r="G1556" i="3"/>
  <c r="F1556" i="3"/>
  <c r="D1556" i="3"/>
  <c r="A1556" i="3"/>
  <c r="H1555" i="3"/>
  <c r="G1555" i="3"/>
  <c r="F1555" i="3"/>
  <c r="D1555" i="3"/>
  <c r="A1555" i="3"/>
  <c r="H1554" i="3"/>
  <c r="G1554" i="3"/>
  <c r="F1554" i="3"/>
  <c r="D1554" i="3"/>
  <c r="A1554" i="3"/>
  <c r="H1553" i="3"/>
  <c r="G1553" i="3"/>
  <c r="F1553" i="3"/>
  <c r="D1553" i="3"/>
  <c r="A1553" i="3"/>
  <c r="H1552" i="3"/>
  <c r="G1552" i="3"/>
  <c r="F1552" i="3"/>
  <c r="A1552" i="3"/>
  <c r="J1551" i="3"/>
  <c r="H1551" i="3"/>
  <c r="G1551" i="3"/>
  <c r="F1551" i="3"/>
  <c r="D1551" i="3"/>
  <c r="A1551" i="3"/>
  <c r="H1550" i="3"/>
  <c r="G1550" i="3"/>
  <c r="F1550" i="3"/>
  <c r="D1550" i="3"/>
  <c r="A1550" i="3"/>
  <c r="H1549" i="3"/>
  <c r="G1549" i="3"/>
  <c r="F1549" i="3"/>
  <c r="D1549" i="3"/>
  <c r="A1549" i="3"/>
  <c r="J1548" i="3"/>
  <c r="H1548" i="3"/>
  <c r="G1548" i="3"/>
  <c r="F1548" i="3"/>
  <c r="D1548" i="3"/>
  <c r="A1548" i="3"/>
  <c r="H1547" i="3"/>
  <c r="G1547" i="3"/>
  <c r="F1547" i="3"/>
  <c r="D1547" i="3"/>
  <c r="A1547" i="3"/>
  <c r="H1546" i="3"/>
  <c r="G1546" i="3"/>
  <c r="F1546" i="3"/>
  <c r="D1546" i="3"/>
  <c r="A1546" i="3"/>
  <c r="J1545" i="3"/>
  <c r="H1545" i="3"/>
  <c r="G1545" i="3"/>
  <c r="F1545" i="3"/>
  <c r="D1545" i="3"/>
  <c r="A1545" i="3"/>
  <c r="H1544" i="3"/>
  <c r="G1544" i="3"/>
  <c r="F1544" i="3"/>
  <c r="D1544" i="3"/>
  <c r="A1544" i="3"/>
  <c r="H1543" i="3"/>
  <c r="G1543" i="3"/>
  <c r="F1543" i="3"/>
  <c r="D1543" i="3"/>
  <c r="A1543" i="3"/>
  <c r="H1542" i="3"/>
  <c r="G1542" i="3"/>
  <c r="F1542" i="3"/>
  <c r="D1542" i="3"/>
  <c r="A1542" i="3"/>
  <c r="H1541" i="3"/>
  <c r="G1541" i="3"/>
  <c r="F1541" i="3"/>
  <c r="D1541" i="3"/>
  <c r="A1541" i="3"/>
  <c r="H1540" i="3"/>
  <c r="G1540" i="3"/>
  <c r="F1540" i="3"/>
  <c r="D1540" i="3"/>
  <c r="A1540" i="3"/>
  <c r="H1539" i="3"/>
  <c r="G1539" i="3"/>
  <c r="F1539" i="3"/>
  <c r="D1539" i="3"/>
  <c r="A1539" i="3"/>
  <c r="J1538" i="3"/>
  <c r="H1538" i="3"/>
  <c r="G1538" i="3"/>
  <c r="F1538" i="3"/>
  <c r="D1538" i="3"/>
  <c r="A1538" i="3"/>
  <c r="H1537" i="3"/>
  <c r="G1537" i="3"/>
  <c r="F1537" i="3"/>
  <c r="D1537" i="3"/>
  <c r="A1537" i="3"/>
  <c r="H1536" i="3"/>
  <c r="G1536" i="3"/>
  <c r="F1536" i="3"/>
  <c r="D1536" i="3"/>
  <c r="A1536" i="3"/>
  <c r="H1535" i="3"/>
  <c r="G1535" i="3"/>
  <c r="F1535" i="3"/>
  <c r="D1535" i="3"/>
  <c r="A1535" i="3"/>
  <c r="H1534" i="3"/>
  <c r="G1534" i="3"/>
  <c r="F1534" i="3"/>
  <c r="D1534" i="3"/>
  <c r="A1534" i="3"/>
  <c r="H1533" i="3"/>
  <c r="G1533" i="3"/>
  <c r="F1533" i="3"/>
  <c r="D1533" i="3"/>
  <c r="A1533" i="3"/>
  <c r="J1532" i="3"/>
  <c r="H1532" i="3"/>
  <c r="G1532" i="3"/>
  <c r="F1532" i="3"/>
  <c r="D1532" i="3"/>
  <c r="A1532" i="3"/>
  <c r="H1531" i="3"/>
  <c r="G1531" i="3"/>
  <c r="F1531" i="3"/>
  <c r="D1531" i="3"/>
  <c r="A1531" i="3"/>
  <c r="H1530" i="3"/>
  <c r="G1530" i="3"/>
  <c r="F1530" i="3"/>
  <c r="D1530" i="3"/>
  <c r="A1530" i="3"/>
  <c r="H1529" i="3"/>
  <c r="G1529" i="3"/>
  <c r="F1529" i="3"/>
  <c r="D1529" i="3"/>
  <c r="A1529" i="3"/>
  <c r="J1528" i="3"/>
  <c r="H1528" i="3"/>
  <c r="G1528" i="3"/>
  <c r="F1528" i="3"/>
  <c r="D1528" i="3"/>
  <c r="A1528" i="3"/>
  <c r="J1527" i="3"/>
  <c r="H1527" i="3"/>
  <c r="G1527" i="3"/>
  <c r="F1527" i="3"/>
  <c r="D1527" i="3"/>
  <c r="A1527" i="3"/>
  <c r="J1526" i="3"/>
  <c r="H1526" i="3"/>
  <c r="G1526" i="3"/>
  <c r="F1526" i="3"/>
  <c r="D1526" i="3"/>
  <c r="A1526" i="3"/>
  <c r="H1525" i="3"/>
  <c r="G1525" i="3"/>
  <c r="F1525" i="3"/>
  <c r="D1525" i="3"/>
  <c r="A1525" i="3"/>
  <c r="H1524" i="3"/>
  <c r="G1524" i="3"/>
  <c r="F1524" i="3"/>
  <c r="A1524" i="3"/>
  <c r="J1523" i="3"/>
  <c r="H1523" i="3"/>
  <c r="G1523" i="3"/>
  <c r="F1523" i="3"/>
  <c r="D1523" i="3"/>
  <c r="A1523" i="3"/>
  <c r="H1522" i="3"/>
  <c r="G1522" i="3"/>
  <c r="F1522" i="3"/>
  <c r="D1522" i="3"/>
  <c r="A1522" i="3"/>
  <c r="H1521" i="3"/>
  <c r="G1521" i="3"/>
  <c r="F1521" i="3"/>
  <c r="D1521" i="3"/>
  <c r="A1521" i="3"/>
  <c r="H1520" i="3"/>
  <c r="G1520" i="3"/>
  <c r="F1520" i="3"/>
  <c r="D1520" i="3"/>
  <c r="A1520" i="3"/>
  <c r="J1519" i="3"/>
  <c r="H1519" i="3"/>
  <c r="G1519" i="3"/>
  <c r="F1519" i="3"/>
  <c r="D1519" i="3"/>
  <c r="A1519" i="3"/>
  <c r="J1518" i="3"/>
  <c r="H1518" i="3"/>
  <c r="G1518" i="3"/>
  <c r="F1518" i="3"/>
  <c r="D1518" i="3"/>
  <c r="A1518" i="3"/>
  <c r="H1517" i="3"/>
  <c r="G1517" i="3"/>
  <c r="F1517" i="3"/>
  <c r="D1517" i="3"/>
  <c r="A1517" i="3"/>
  <c r="H1516" i="3"/>
  <c r="G1516" i="3"/>
  <c r="F1516" i="3"/>
  <c r="D1516" i="3"/>
  <c r="A1516" i="3"/>
  <c r="J1515" i="3"/>
  <c r="H1515" i="3"/>
  <c r="G1515" i="3"/>
  <c r="F1515" i="3"/>
  <c r="D1515" i="3"/>
  <c r="A1515" i="3"/>
  <c r="J1514" i="3"/>
  <c r="H1514" i="3"/>
  <c r="G1514" i="3"/>
  <c r="F1514" i="3"/>
  <c r="D1514" i="3"/>
  <c r="A1514" i="3"/>
  <c r="H1513" i="3"/>
  <c r="G1513" i="3"/>
  <c r="F1513" i="3"/>
  <c r="D1513" i="3"/>
  <c r="A1513" i="3"/>
  <c r="J1512" i="3"/>
  <c r="H1512" i="3"/>
  <c r="G1512" i="3"/>
  <c r="F1512" i="3"/>
  <c r="D1512" i="3"/>
  <c r="A1512" i="3"/>
  <c r="J1511" i="3"/>
  <c r="H1511" i="3"/>
  <c r="G1511" i="3"/>
  <c r="F1511" i="3"/>
  <c r="D1511" i="3"/>
  <c r="A1511" i="3"/>
  <c r="H1510" i="3"/>
  <c r="G1510" i="3"/>
  <c r="F1510" i="3"/>
  <c r="D1510" i="3"/>
  <c r="A1510" i="3"/>
  <c r="H1509" i="3"/>
  <c r="G1509" i="3"/>
  <c r="F1509" i="3"/>
  <c r="D1509" i="3"/>
  <c r="A1509" i="3"/>
  <c r="J1508" i="3"/>
  <c r="H1508" i="3"/>
  <c r="G1508" i="3"/>
  <c r="F1508" i="3"/>
  <c r="D1508" i="3"/>
  <c r="A1508" i="3"/>
  <c r="H1507" i="3"/>
  <c r="G1507" i="3"/>
  <c r="F1507" i="3"/>
  <c r="D1507" i="3"/>
  <c r="A1507" i="3"/>
  <c r="J1506" i="3"/>
  <c r="H1506" i="3"/>
  <c r="G1506" i="3"/>
  <c r="F1506" i="3"/>
  <c r="D1506" i="3"/>
  <c r="A1506" i="3"/>
  <c r="H1505" i="3"/>
  <c r="G1505" i="3"/>
  <c r="F1505" i="3"/>
  <c r="D1505" i="3"/>
  <c r="A1505" i="3"/>
  <c r="H1504" i="3"/>
  <c r="G1504" i="3"/>
  <c r="F1504" i="3"/>
  <c r="D1504" i="3"/>
  <c r="A1504" i="3"/>
  <c r="H1503" i="3"/>
  <c r="G1503" i="3"/>
  <c r="F1503" i="3"/>
  <c r="D1503" i="3"/>
  <c r="A1503" i="3"/>
  <c r="H1502" i="3"/>
  <c r="G1502" i="3"/>
  <c r="F1502" i="3"/>
  <c r="D1502" i="3"/>
  <c r="A1502" i="3"/>
  <c r="J1501" i="3"/>
  <c r="H1501" i="3"/>
  <c r="G1501" i="3"/>
  <c r="F1501" i="3"/>
  <c r="D1501" i="3"/>
  <c r="A1501" i="3"/>
  <c r="H1500" i="3"/>
  <c r="G1500" i="3"/>
  <c r="F1500" i="3"/>
  <c r="D1500" i="3"/>
  <c r="A1500" i="3"/>
  <c r="J1499" i="3"/>
  <c r="H1499" i="3"/>
  <c r="G1499" i="3"/>
  <c r="F1499" i="3"/>
  <c r="D1499" i="3"/>
  <c r="A1499" i="3"/>
  <c r="J1498" i="3"/>
  <c r="H1498" i="3"/>
  <c r="G1498" i="3"/>
  <c r="F1498" i="3"/>
  <c r="D1498" i="3"/>
  <c r="A1498" i="3"/>
  <c r="H1497" i="3"/>
  <c r="G1497" i="3"/>
  <c r="F1497" i="3"/>
  <c r="D1497" i="3"/>
  <c r="A1497" i="3"/>
  <c r="J1496" i="3"/>
  <c r="H1496" i="3"/>
  <c r="G1496" i="3"/>
  <c r="F1496" i="3"/>
  <c r="D1496" i="3"/>
  <c r="A1496" i="3"/>
  <c r="H1495" i="3"/>
  <c r="G1495" i="3"/>
  <c r="F1495" i="3"/>
  <c r="D1495" i="3"/>
  <c r="A1495" i="3"/>
  <c r="H1494" i="3"/>
  <c r="G1494" i="3"/>
  <c r="F1494" i="3"/>
  <c r="D1494" i="3"/>
  <c r="A1494" i="3"/>
  <c r="J1493" i="3"/>
  <c r="H1493" i="3"/>
  <c r="G1493" i="3"/>
  <c r="F1493" i="3"/>
  <c r="D1493" i="3"/>
  <c r="A1493" i="3"/>
  <c r="H1492" i="3"/>
  <c r="G1492" i="3"/>
  <c r="F1492" i="3"/>
  <c r="D1492" i="3"/>
  <c r="A1492" i="3"/>
  <c r="H1491" i="3"/>
  <c r="G1491" i="3"/>
  <c r="F1491" i="3"/>
  <c r="D1491" i="3"/>
  <c r="A1491" i="3"/>
  <c r="H1490" i="3"/>
  <c r="G1490" i="3"/>
  <c r="F1490" i="3"/>
  <c r="D1490" i="3"/>
  <c r="A1490" i="3"/>
  <c r="H1489" i="3"/>
  <c r="G1489" i="3"/>
  <c r="F1489" i="3"/>
  <c r="D1489" i="3"/>
  <c r="A1489" i="3"/>
  <c r="H1488" i="3"/>
  <c r="G1488" i="3"/>
  <c r="F1488" i="3"/>
  <c r="D1488" i="3"/>
  <c r="A1488" i="3"/>
  <c r="J1487" i="3"/>
  <c r="H1487" i="3"/>
  <c r="G1487" i="3"/>
  <c r="F1487" i="3"/>
  <c r="D1487" i="3"/>
  <c r="A1487" i="3"/>
  <c r="H1486" i="3"/>
  <c r="G1486" i="3"/>
  <c r="F1486" i="3"/>
  <c r="D1486" i="3"/>
  <c r="A1486" i="3"/>
  <c r="J1485" i="3"/>
  <c r="H1485" i="3"/>
  <c r="G1485" i="3"/>
  <c r="F1485" i="3"/>
  <c r="D1485" i="3"/>
  <c r="A1485" i="3"/>
  <c r="H1484" i="3"/>
  <c r="G1484" i="3"/>
  <c r="F1484" i="3"/>
  <c r="D1484" i="3"/>
  <c r="A1484" i="3"/>
  <c r="H1483" i="3"/>
  <c r="G1483" i="3"/>
  <c r="F1483" i="3"/>
  <c r="D1483" i="3"/>
  <c r="A1483" i="3"/>
  <c r="H1482" i="3"/>
  <c r="G1482" i="3"/>
  <c r="F1482" i="3"/>
  <c r="D1482" i="3"/>
  <c r="A1482" i="3"/>
  <c r="H1481" i="3"/>
  <c r="G1481" i="3"/>
  <c r="F1481" i="3"/>
  <c r="D1481" i="3"/>
  <c r="A1481" i="3"/>
  <c r="H1480" i="3"/>
  <c r="G1480" i="3"/>
  <c r="F1480" i="3"/>
  <c r="D1480" i="3"/>
  <c r="A1480" i="3"/>
  <c r="H1479" i="3"/>
  <c r="G1479" i="3"/>
  <c r="F1479" i="3"/>
  <c r="D1479" i="3"/>
  <c r="A1479" i="3"/>
  <c r="H1478" i="3"/>
  <c r="G1478" i="3"/>
  <c r="F1478" i="3"/>
  <c r="D1478" i="3"/>
  <c r="A1478" i="3"/>
  <c r="H1477" i="3"/>
  <c r="G1477" i="3"/>
  <c r="F1477" i="3"/>
  <c r="D1477" i="3"/>
  <c r="A1477" i="3"/>
  <c r="H1476" i="3"/>
  <c r="G1476" i="3"/>
  <c r="F1476" i="3"/>
  <c r="D1476" i="3"/>
  <c r="A1476" i="3"/>
  <c r="H1475" i="3"/>
  <c r="G1475" i="3"/>
  <c r="F1475" i="3"/>
  <c r="D1475" i="3"/>
  <c r="A1475" i="3"/>
  <c r="H1474" i="3"/>
  <c r="G1474" i="3"/>
  <c r="F1474" i="3"/>
  <c r="D1474" i="3"/>
  <c r="A1474" i="3"/>
  <c r="H1473" i="3"/>
  <c r="G1473" i="3"/>
  <c r="F1473" i="3"/>
  <c r="D1473" i="3"/>
  <c r="A1473" i="3"/>
  <c r="H1472" i="3"/>
  <c r="G1472" i="3"/>
  <c r="F1472" i="3"/>
  <c r="D1472" i="3"/>
  <c r="A1472" i="3"/>
  <c r="H1471" i="3"/>
  <c r="G1471" i="3"/>
  <c r="F1471" i="3"/>
  <c r="D1471" i="3"/>
  <c r="A1471" i="3"/>
  <c r="H1470" i="3"/>
  <c r="G1470" i="3"/>
  <c r="F1470" i="3"/>
  <c r="D1470" i="3"/>
  <c r="A1470" i="3"/>
  <c r="H1469" i="3"/>
  <c r="G1469" i="3"/>
  <c r="F1469" i="3"/>
  <c r="D1469" i="3"/>
  <c r="A1469" i="3"/>
  <c r="J1468" i="3"/>
  <c r="H1468" i="3"/>
  <c r="G1468" i="3"/>
  <c r="F1468" i="3"/>
  <c r="D1468" i="3"/>
  <c r="A1468" i="3"/>
  <c r="H1467" i="3"/>
  <c r="G1467" i="3"/>
  <c r="F1467" i="3"/>
  <c r="D1467" i="3"/>
  <c r="A1467" i="3"/>
  <c r="H1466" i="3"/>
  <c r="G1466" i="3"/>
  <c r="F1466" i="3"/>
  <c r="D1466" i="3"/>
  <c r="A1466" i="3"/>
  <c r="H1465" i="3"/>
  <c r="G1465" i="3"/>
  <c r="F1465" i="3"/>
  <c r="D1465" i="3"/>
  <c r="A1465" i="3"/>
  <c r="H1464" i="3"/>
  <c r="G1464" i="3"/>
  <c r="F1464" i="3"/>
  <c r="D1464" i="3"/>
  <c r="A1464" i="3"/>
  <c r="J1463" i="3"/>
  <c r="H1463" i="3"/>
  <c r="G1463" i="3"/>
  <c r="F1463" i="3"/>
  <c r="D1463" i="3"/>
  <c r="A1463" i="3"/>
  <c r="J1462" i="3"/>
  <c r="H1462" i="3"/>
  <c r="G1462" i="3"/>
  <c r="F1462" i="3"/>
  <c r="A1462" i="3"/>
  <c r="H1461" i="3"/>
  <c r="G1461" i="3"/>
  <c r="F1461" i="3"/>
  <c r="D1461" i="3"/>
  <c r="A1461" i="3"/>
  <c r="H1460" i="3"/>
  <c r="G1460" i="3"/>
  <c r="F1460" i="3"/>
  <c r="D1460" i="3"/>
  <c r="A1460" i="3"/>
  <c r="H1459" i="3"/>
  <c r="G1459" i="3"/>
  <c r="F1459" i="3"/>
  <c r="D1459" i="3"/>
  <c r="A1459" i="3"/>
  <c r="H1458" i="3"/>
  <c r="G1458" i="3"/>
  <c r="F1458" i="3"/>
  <c r="D1458" i="3"/>
  <c r="A1458" i="3"/>
  <c r="H1457" i="3"/>
  <c r="G1457" i="3"/>
  <c r="F1457" i="3"/>
  <c r="D1457" i="3"/>
  <c r="A1457" i="3"/>
  <c r="J1456" i="3"/>
  <c r="H1456" i="3"/>
  <c r="G1456" i="3"/>
  <c r="F1456" i="3"/>
  <c r="D1456" i="3"/>
  <c r="A1456" i="3"/>
  <c r="H1455" i="3"/>
  <c r="G1455" i="3"/>
  <c r="F1455" i="3"/>
  <c r="D1455" i="3"/>
  <c r="A1455" i="3"/>
  <c r="H1454" i="3"/>
  <c r="G1454" i="3"/>
  <c r="F1454" i="3"/>
  <c r="D1454" i="3"/>
  <c r="A1454" i="3"/>
  <c r="H1453" i="3"/>
  <c r="G1453" i="3"/>
  <c r="F1453" i="3"/>
  <c r="D1453" i="3"/>
  <c r="A1453" i="3"/>
  <c r="H1452" i="3"/>
  <c r="G1452" i="3"/>
  <c r="F1452" i="3"/>
  <c r="D1452" i="3"/>
  <c r="A1452" i="3"/>
  <c r="H1451" i="3"/>
  <c r="G1451" i="3"/>
  <c r="F1451" i="3"/>
  <c r="D1451" i="3"/>
  <c r="A1451" i="3"/>
  <c r="H1450" i="3"/>
  <c r="G1450" i="3"/>
  <c r="F1450" i="3"/>
  <c r="D1450" i="3"/>
  <c r="A1450" i="3"/>
  <c r="H1449" i="3"/>
  <c r="G1449" i="3"/>
  <c r="F1449" i="3"/>
  <c r="D1449" i="3"/>
  <c r="A1449" i="3"/>
  <c r="J1448" i="3"/>
  <c r="H1448" i="3"/>
  <c r="G1448" i="3"/>
  <c r="F1448" i="3"/>
  <c r="D1448" i="3"/>
  <c r="A1448" i="3"/>
  <c r="H1447" i="3"/>
  <c r="G1447" i="3"/>
  <c r="F1447" i="3"/>
  <c r="D1447" i="3"/>
  <c r="A1447" i="3"/>
  <c r="J1446" i="3"/>
  <c r="H1446" i="3"/>
  <c r="G1446" i="3"/>
  <c r="F1446" i="3"/>
  <c r="D1446" i="3"/>
  <c r="A1446" i="3"/>
  <c r="J1445" i="3"/>
  <c r="H1445" i="3"/>
  <c r="G1445" i="3"/>
  <c r="F1445" i="3"/>
  <c r="D1445" i="3"/>
  <c r="A1445" i="3"/>
  <c r="H1444" i="3"/>
  <c r="G1444" i="3"/>
  <c r="F1444" i="3"/>
  <c r="D1444" i="3"/>
  <c r="A1444" i="3"/>
  <c r="J1443" i="3"/>
  <c r="H1443" i="3"/>
  <c r="G1443" i="3"/>
  <c r="F1443" i="3"/>
  <c r="D1443" i="3"/>
  <c r="A1443" i="3"/>
  <c r="J1442" i="3"/>
  <c r="H1442" i="3"/>
  <c r="G1442" i="3"/>
  <c r="F1442" i="3"/>
  <c r="D1442" i="3"/>
  <c r="A1442" i="3"/>
  <c r="J1441" i="3"/>
  <c r="H1441" i="3"/>
  <c r="G1441" i="3"/>
  <c r="F1441" i="3"/>
  <c r="D1441" i="3"/>
  <c r="A1441" i="3"/>
  <c r="H1440" i="3"/>
  <c r="G1440" i="3"/>
  <c r="F1440" i="3"/>
  <c r="D1440" i="3"/>
  <c r="A1440" i="3"/>
  <c r="H1439" i="3"/>
  <c r="G1439" i="3"/>
  <c r="F1439" i="3"/>
  <c r="D1439" i="3"/>
  <c r="A1439" i="3"/>
  <c r="H1438" i="3"/>
  <c r="G1438" i="3"/>
  <c r="F1438" i="3"/>
  <c r="D1438" i="3"/>
  <c r="A1438" i="3"/>
  <c r="J1437" i="3"/>
  <c r="H1437" i="3"/>
  <c r="G1437" i="3"/>
  <c r="F1437" i="3"/>
  <c r="D1437" i="3"/>
  <c r="A1437" i="3"/>
  <c r="H1436" i="3"/>
  <c r="G1436" i="3"/>
  <c r="F1436" i="3"/>
  <c r="D1436" i="3"/>
  <c r="A1436" i="3"/>
  <c r="H1435" i="3"/>
  <c r="G1435" i="3"/>
  <c r="F1435" i="3"/>
  <c r="D1435" i="3"/>
  <c r="A1435" i="3"/>
  <c r="H1434" i="3"/>
  <c r="G1434" i="3"/>
  <c r="F1434" i="3"/>
  <c r="D1434" i="3"/>
  <c r="A1434" i="3"/>
  <c r="H1433" i="3"/>
  <c r="G1433" i="3"/>
  <c r="F1433" i="3"/>
  <c r="D1433" i="3"/>
  <c r="A1433" i="3"/>
  <c r="H1432" i="3"/>
  <c r="G1432" i="3"/>
  <c r="F1432" i="3"/>
  <c r="D1432" i="3"/>
  <c r="A1432" i="3"/>
  <c r="H1431" i="3"/>
  <c r="G1431" i="3"/>
  <c r="F1431" i="3"/>
  <c r="D1431" i="3"/>
  <c r="A1431" i="3"/>
  <c r="H1430" i="3"/>
  <c r="G1430" i="3"/>
  <c r="F1430" i="3"/>
  <c r="D1430" i="3"/>
  <c r="A1430" i="3"/>
  <c r="H1429" i="3"/>
  <c r="G1429" i="3"/>
  <c r="F1429" i="3"/>
  <c r="D1429" i="3"/>
  <c r="A1429" i="3"/>
  <c r="J1428" i="3"/>
  <c r="H1428" i="3"/>
  <c r="G1428" i="3"/>
  <c r="F1428" i="3"/>
  <c r="D1428" i="3"/>
  <c r="A1428" i="3"/>
  <c r="J1427" i="3"/>
  <c r="H1427" i="3"/>
  <c r="G1427" i="3"/>
  <c r="F1427" i="3"/>
  <c r="D1427" i="3"/>
  <c r="A1427" i="3"/>
  <c r="H1426" i="3"/>
  <c r="G1426" i="3"/>
  <c r="F1426" i="3"/>
  <c r="D1426" i="3"/>
  <c r="A1426" i="3"/>
  <c r="H1425" i="3"/>
  <c r="G1425" i="3"/>
  <c r="F1425" i="3"/>
  <c r="D1425" i="3"/>
  <c r="A1425" i="3"/>
  <c r="H1424" i="3"/>
  <c r="G1424" i="3"/>
  <c r="D1424" i="3"/>
  <c r="A1424" i="3"/>
  <c r="H1423" i="3"/>
  <c r="G1423" i="3"/>
  <c r="D1423" i="3"/>
  <c r="A1423" i="3"/>
  <c r="H1422" i="3"/>
  <c r="G1422" i="3"/>
  <c r="D1422" i="3"/>
  <c r="A1422" i="3"/>
  <c r="H1421" i="3"/>
  <c r="G1421" i="3"/>
  <c r="D1421" i="3"/>
  <c r="A1421" i="3"/>
  <c r="H1420" i="3"/>
  <c r="G1420" i="3"/>
  <c r="D1420" i="3"/>
  <c r="A1420" i="3"/>
  <c r="H1419" i="3"/>
  <c r="G1419" i="3"/>
  <c r="D1419" i="3"/>
  <c r="A1419" i="3"/>
  <c r="H1418" i="3"/>
  <c r="G1418" i="3"/>
  <c r="D1418" i="3"/>
  <c r="A1418" i="3"/>
  <c r="H1417" i="3"/>
  <c r="G1417" i="3"/>
  <c r="D1417" i="3"/>
  <c r="A1417" i="3"/>
  <c r="H1416" i="3"/>
  <c r="G1416" i="3"/>
  <c r="D1416" i="3"/>
  <c r="A1416" i="3"/>
  <c r="H1415" i="3"/>
  <c r="G1415" i="3"/>
  <c r="D1415" i="3"/>
  <c r="A1415" i="3"/>
  <c r="H1414" i="3"/>
  <c r="G1414" i="3"/>
  <c r="D1414" i="3"/>
  <c r="A1414" i="3"/>
  <c r="H1413" i="3"/>
  <c r="G1413" i="3"/>
  <c r="D1413" i="3"/>
  <c r="A1413" i="3"/>
  <c r="H1412" i="3"/>
  <c r="G1412" i="3"/>
  <c r="D1412" i="3"/>
  <c r="A1412" i="3"/>
  <c r="H1411" i="3"/>
  <c r="G1411" i="3"/>
  <c r="D1411" i="3"/>
  <c r="A1411" i="3"/>
  <c r="H1410" i="3"/>
  <c r="G1410" i="3"/>
  <c r="D1410" i="3"/>
  <c r="A1410" i="3"/>
  <c r="J1409" i="3"/>
  <c r="H1409" i="3"/>
  <c r="G1409" i="3"/>
  <c r="F1409" i="3"/>
  <c r="D1409" i="3"/>
  <c r="A1409" i="3"/>
  <c r="H1408" i="3"/>
  <c r="G1408" i="3"/>
  <c r="F1408" i="3"/>
  <c r="D1408" i="3"/>
  <c r="A1408" i="3"/>
  <c r="J1407" i="3"/>
  <c r="H1407" i="3"/>
  <c r="G1407" i="3"/>
  <c r="F1407" i="3"/>
  <c r="D1407" i="3"/>
  <c r="A1407" i="3"/>
  <c r="H1406" i="3"/>
  <c r="G1406" i="3"/>
  <c r="F1406" i="3"/>
  <c r="D1406" i="3"/>
  <c r="A1406" i="3"/>
  <c r="H1405" i="3"/>
  <c r="G1405" i="3"/>
  <c r="F1405" i="3"/>
  <c r="D1405" i="3"/>
  <c r="A1405" i="3"/>
  <c r="J1404" i="3"/>
  <c r="H1404" i="3"/>
  <c r="G1404" i="3"/>
  <c r="F1404" i="3"/>
  <c r="D1404" i="3"/>
  <c r="A1404" i="3"/>
  <c r="J1403" i="3"/>
  <c r="H1403" i="3"/>
  <c r="G1403" i="3"/>
  <c r="F1403" i="3"/>
  <c r="D1403" i="3"/>
  <c r="A1403" i="3"/>
  <c r="J1402" i="3"/>
  <c r="H1402" i="3"/>
  <c r="G1402" i="3"/>
  <c r="F1402" i="3"/>
  <c r="D1402" i="3"/>
  <c r="A1402" i="3"/>
  <c r="H1401" i="3"/>
  <c r="G1401" i="3"/>
  <c r="F1401" i="3"/>
  <c r="D1401" i="3"/>
  <c r="A1401" i="3"/>
  <c r="J1400" i="3"/>
  <c r="H1400" i="3"/>
  <c r="G1400" i="3"/>
  <c r="F1400" i="3"/>
  <c r="D1400" i="3"/>
  <c r="A1400" i="3"/>
  <c r="H1399" i="3"/>
  <c r="G1399" i="3"/>
  <c r="F1399" i="3"/>
  <c r="D1399" i="3"/>
  <c r="A1399" i="3"/>
  <c r="J1398" i="3"/>
  <c r="H1398" i="3"/>
  <c r="G1398" i="3"/>
  <c r="F1398" i="3"/>
  <c r="D1398" i="3"/>
  <c r="A1398" i="3"/>
  <c r="H1397" i="3"/>
  <c r="G1397" i="3"/>
  <c r="F1397" i="3"/>
  <c r="D1397" i="3"/>
  <c r="A1397" i="3"/>
  <c r="J1396" i="3"/>
  <c r="H1396" i="3"/>
  <c r="G1396" i="3"/>
  <c r="F1396" i="3"/>
  <c r="D1396" i="3"/>
  <c r="A1396" i="3"/>
  <c r="H1395" i="3"/>
  <c r="G1395" i="3"/>
  <c r="F1395" i="3"/>
  <c r="D1395" i="3"/>
  <c r="A1395" i="3"/>
  <c r="H1394" i="3"/>
  <c r="G1394" i="3"/>
  <c r="F1394" i="3"/>
  <c r="D1394" i="3"/>
  <c r="A1394" i="3"/>
  <c r="J1393" i="3"/>
  <c r="H1393" i="3"/>
  <c r="G1393" i="3"/>
  <c r="F1393" i="3"/>
  <c r="D1393" i="3"/>
  <c r="A1393" i="3"/>
  <c r="H1392" i="3"/>
  <c r="G1392" i="3"/>
  <c r="F1392" i="3"/>
  <c r="D1392" i="3"/>
  <c r="A1392" i="3"/>
  <c r="H1391" i="3"/>
  <c r="G1391" i="3"/>
  <c r="F1391" i="3"/>
  <c r="D1391" i="3"/>
  <c r="A1391" i="3"/>
  <c r="J1390" i="3"/>
  <c r="H1390" i="3"/>
  <c r="G1390" i="3"/>
  <c r="F1390" i="3"/>
  <c r="D1390" i="3"/>
  <c r="A1390" i="3"/>
  <c r="J1389" i="3"/>
  <c r="H1389" i="3"/>
  <c r="G1389" i="3"/>
  <c r="F1389" i="3"/>
  <c r="D1389" i="3"/>
  <c r="A1389" i="3"/>
  <c r="H1388" i="3"/>
  <c r="G1388" i="3"/>
  <c r="F1388" i="3"/>
  <c r="D1388" i="3"/>
  <c r="A1388" i="3"/>
  <c r="J1387" i="3"/>
  <c r="H1387" i="3"/>
  <c r="G1387" i="3"/>
  <c r="F1387" i="3"/>
  <c r="D1387" i="3"/>
  <c r="A1387" i="3"/>
  <c r="J1386" i="3"/>
  <c r="H1386" i="3"/>
  <c r="G1386" i="3"/>
  <c r="F1386" i="3"/>
  <c r="D1386" i="3"/>
  <c r="A1386" i="3"/>
  <c r="J1385" i="3"/>
  <c r="H1385" i="3"/>
  <c r="G1385" i="3"/>
  <c r="F1385" i="3"/>
  <c r="D1385" i="3"/>
  <c r="A1385" i="3"/>
  <c r="J1384" i="3"/>
  <c r="H1384" i="3"/>
  <c r="G1384" i="3"/>
  <c r="F1384" i="3"/>
  <c r="D1384" i="3"/>
  <c r="A1384" i="3"/>
  <c r="H1383" i="3"/>
  <c r="G1383" i="3"/>
  <c r="F1383" i="3"/>
  <c r="D1383" i="3"/>
  <c r="A1383" i="3"/>
  <c r="J1382" i="3"/>
  <c r="H1382" i="3"/>
  <c r="G1382" i="3"/>
  <c r="F1382" i="3"/>
  <c r="D1382" i="3"/>
  <c r="A1382" i="3"/>
  <c r="H1381" i="3"/>
  <c r="G1381" i="3"/>
  <c r="F1381" i="3"/>
  <c r="D1381" i="3"/>
  <c r="A1381" i="3"/>
  <c r="J1380" i="3"/>
  <c r="H1380" i="3"/>
  <c r="G1380" i="3"/>
  <c r="F1380" i="3"/>
  <c r="D1380" i="3"/>
  <c r="A1380" i="3"/>
  <c r="J1379" i="3"/>
  <c r="H1379" i="3"/>
  <c r="G1379" i="3"/>
  <c r="F1379" i="3"/>
  <c r="D1379" i="3"/>
  <c r="A1379" i="3"/>
  <c r="J1378" i="3"/>
  <c r="H1378" i="3"/>
  <c r="G1378" i="3"/>
  <c r="F1378" i="3"/>
  <c r="D1378" i="3"/>
  <c r="A1378" i="3"/>
  <c r="J1377" i="3"/>
  <c r="H1377" i="3"/>
  <c r="G1377" i="3"/>
  <c r="F1377" i="3"/>
  <c r="D1377" i="3"/>
  <c r="A1377" i="3"/>
  <c r="H1376" i="3"/>
  <c r="G1376" i="3"/>
  <c r="F1376" i="3"/>
  <c r="D1376" i="3"/>
  <c r="A1376" i="3"/>
  <c r="J1375" i="3"/>
  <c r="H1375" i="3"/>
  <c r="G1375" i="3"/>
  <c r="F1375" i="3"/>
  <c r="D1375" i="3"/>
  <c r="A1375" i="3"/>
  <c r="H1374" i="3"/>
  <c r="G1374" i="3"/>
  <c r="F1374" i="3"/>
  <c r="D1374" i="3"/>
  <c r="A1374" i="3"/>
  <c r="H1373" i="3"/>
  <c r="G1373" i="3"/>
  <c r="F1373" i="3"/>
  <c r="D1373" i="3"/>
  <c r="A1373" i="3"/>
  <c r="H1372" i="3"/>
  <c r="G1372" i="3"/>
  <c r="F1372" i="3"/>
  <c r="D1372" i="3"/>
  <c r="A1372" i="3"/>
  <c r="H1371" i="3"/>
  <c r="G1371" i="3"/>
  <c r="F1371" i="3"/>
  <c r="D1371" i="3"/>
  <c r="A1371" i="3"/>
  <c r="H1370" i="3"/>
  <c r="G1370" i="3"/>
  <c r="F1370" i="3"/>
  <c r="D1370" i="3"/>
  <c r="A1370" i="3"/>
  <c r="H1369" i="3"/>
  <c r="G1369" i="3"/>
  <c r="F1369" i="3"/>
  <c r="D1369" i="3"/>
  <c r="A1369" i="3"/>
  <c r="J1368" i="3"/>
  <c r="H1368" i="3"/>
  <c r="G1368" i="3"/>
  <c r="F1368" i="3"/>
  <c r="D1368" i="3"/>
  <c r="A1368" i="3"/>
  <c r="J1367" i="3"/>
  <c r="H1367" i="3"/>
  <c r="G1367" i="3"/>
  <c r="F1367" i="3"/>
  <c r="D1367" i="3"/>
  <c r="A1367" i="3"/>
  <c r="J1366" i="3"/>
  <c r="H1366" i="3"/>
  <c r="G1366" i="3"/>
  <c r="F1366" i="3"/>
  <c r="D1366" i="3"/>
  <c r="A1366" i="3"/>
  <c r="J1365" i="3"/>
  <c r="H1365" i="3"/>
  <c r="G1365" i="3"/>
  <c r="F1365" i="3"/>
  <c r="D1365" i="3"/>
  <c r="A1365" i="3"/>
  <c r="H1364" i="3"/>
  <c r="G1364" i="3"/>
  <c r="F1364" i="3"/>
  <c r="D1364" i="3"/>
  <c r="A1364" i="3"/>
  <c r="H1363" i="3"/>
  <c r="G1363" i="3"/>
  <c r="F1363" i="3"/>
  <c r="D1363" i="3"/>
  <c r="A1363" i="3"/>
  <c r="H1362" i="3"/>
  <c r="G1362" i="3"/>
  <c r="F1362" i="3"/>
  <c r="D1362" i="3"/>
  <c r="A1362" i="3"/>
  <c r="H1361" i="3"/>
  <c r="G1361" i="3"/>
  <c r="F1361" i="3"/>
  <c r="D1361" i="3"/>
  <c r="A1361" i="3"/>
  <c r="J1360" i="3"/>
  <c r="H1360" i="3"/>
  <c r="G1360" i="3"/>
  <c r="F1360" i="3"/>
  <c r="D1360" i="3"/>
  <c r="A1360" i="3"/>
  <c r="H1359" i="3"/>
  <c r="G1359" i="3"/>
  <c r="F1359" i="3"/>
  <c r="D1359" i="3"/>
  <c r="A1359" i="3"/>
  <c r="J1358" i="3"/>
  <c r="H1358" i="3"/>
  <c r="G1358" i="3"/>
  <c r="F1358" i="3"/>
  <c r="D1358" i="3"/>
  <c r="A1358" i="3"/>
  <c r="H1357" i="3"/>
  <c r="G1357" i="3"/>
  <c r="F1357" i="3"/>
  <c r="D1357" i="3"/>
  <c r="A1357" i="3"/>
  <c r="H1356" i="3"/>
  <c r="G1356" i="3"/>
  <c r="F1356" i="3"/>
  <c r="D1356" i="3"/>
  <c r="A1356" i="3"/>
  <c r="J1355" i="3"/>
  <c r="H1355" i="3"/>
  <c r="G1355" i="3"/>
  <c r="F1355" i="3"/>
  <c r="D1355" i="3"/>
  <c r="A1355" i="3"/>
  <c r="J1354" i="3"/>
  <c r="H1354" i="3"/>
  <c r="G1354" i="3"/>
  <c r="F1354" i="3"/>
  <c r="D1354" i="3"/>
  <c r="A1354" i="3"/>
  <c r="H1353" i="3"/>
  <c r="G1353" i="3"/>
  <c r="F1353" i="3"/>
  <c r="D1353" i="3"/>
  <c r="A1353" i="3"/>
  <c r="J1352" i="3"/>
  <c r="H1352" i="3"/>
  <c r="G1352" i="3"/>
  <c r="F1352" i="3"/>
  <c r="D1352" i="3"/>
  <c r="A1352" i="3"/>
  <c r="J1351" i="3"/>
  <c r="H1351" i="3"/>
  <c r="G1351" i="3"/>
  <c r="F1351" i="3"/>
  <c r="D1351" i="3"/>
  <c r="A1351" i="3"/>
  <c r="J1350" i="3"/>
  <c r="H1350" i="3"/>
  <c r="G1350" i="3"/>
  <c r="F1350" i="3"/>
  <c r="D1350" i="3"/>
  <c r="A1350" i="3"/>
  <c r="H1349" i="3"/>
  <c r="G1349" i="3"/>
  <c r="F1349" i="3"/>
  <c r="D1349" i="3"/>
  <c r="A1349" i="3"/>
  <c r="H1348" i="3"/>
  <c r="G1348" i="3"/>
  <c r="F1348" i="3"/>
  <c r="D1348" i="3"/>
  <c r="A1348" i="3"/>
  <c r="H1347" i="3"/>
  <c r="G1347" i="3"/>
  <c r="F1347" i="3"/>
  <c r="D1347" i="3"/>
  <c r="A1347" i="3"/>
  <c r="H1346" i="3"/>
  <c r="G1346" i="3"/>
  <c r="F1346" i="3"/>
  <c r="D1346" i="3"/>
  <c r="A1346" i="3"/>
  <c r="J1345" i="3"/>
  <c r="H1345" i="3"/>
  <c r="G1345" i="3"/>
  <c r="F1345" i="3"/>
  <c r="D1345" i="3"/>
  <c r="A1345" i="3"/>
  <c r="J1344" i="3"/>
  <c r="H1344" i="3"/>
  <c r="G1344" i="3"/>
  <c r="F1344" i="3"/>
  <c r="D1344" i="3"/>
  <c r="A1344" i="3"/>
  <c r="J1343" i="3"/>
  <c r="H1343" i="3"/>
  <c r="G1343" i="3"/>
  <c r="F1343" i="3"/>
  <c r="D1343" i="3"/>
  <c r="A1343" i="3"/>
  <c r="H1342" i="3"/>
  <c r="G1342" i="3"/>
  <c r="F1342" i="3"/>
  <c r="D1342" i="3"/>
  <c r="A1342" i="3"/>
  <c r="H1341" i="3"/>
  <c r="G1341" i="3"/>
  <c r="F1341" i="3"/>
  <c r="D1341" i="3"/>
  <c r="A1341" i="3"/>
  <c r="J1340" i="3"/>
  <c r="H1340" i="3"/>
  <c r="G1340" i="3"/>
  <c r="F1340" i="3"/>
  <c r="D1340" i="3"/>
  <c r="A1340" i="3"/>
  <c r="J1339" i="3"/>
  <c r="H1339" i="3"/>
  <c r="G1339" i="3"/>
  <c r="F1339" i="3"/>
  <c r="D1339" i="3"/>
  <c r="A1339" i="3"/>
  <c r="J1338" i="3"/>
  <c r="H1338" i="3"/>
  <c r="G1338" i="3"/>
  <c r="F1338" i="3"/>
  <c r="D1338" i="3"/>
  <c r="A1338" i="3"/>
  <c r="J1337" i="3"/>
  <c r="H1337" i="3"/>
  <c r="G1337" i="3"/>
  <c r="F1337" i="3"/>
  <c r="D1337" i="3"/>
  <c r="A1337" i="3"/>
  <c r="J1336" i="3"/>
  <c r="H1336" i="3"/>
  <c r="G1336" i="3"/>
  <c r="F1336" i="3"/>
  <c r="D1336" i="3"/>
  <c r="A1336" i="3"/>
  <c r="J1335" i="3"/>
  <c r="H1335" i="3"/>
  <c r="G1335" i="3"/>
  <c r="F1335" i="3"/>
  <c r="D1335" i="3"/>
  <c r="A1335" i="3"/>
  <c r="J1334" i="3"/>
  <c r="H1334" i="3"/>
  <c r="G1334" i="3"/>
  <c r="F1334" i="3"/>
  <c r="D1334" i="3"/>
  <c r="A1334" i="3"/>
  <c r="H1333" i="3"/>
  <c r="G1333" i="3"/>
  <c r="F1333" i="3"/>
  <c r="D1333" i="3"/>
  <c r="A1333" i="3"/>
  <c r="J1332" i="3"/>
  <c r="H1332" i="3"/>
  <c r="G1332" i="3"/>
  <c r="F1332" i="3"/>
  <c r="D1332" i="3"/>
  <c r="A1332" i="3"/>
  <c r="H1331" i="3"/>
  <c r="G1331" i="3"/>
  <c r="F1331" i="3"/>
  <c r="A1331" i="3"/>
  <c r="H1330" i="3"/>
  <c r="G1330" i="3"/>
  <c r="F1330" i="3"/>
  <c r="D1330" i="3"/>
  <c r="A1330" i="3"/>
  <c r="H1329" i="3"/>
  <c r="G1329" i="3"/>
  <c r="F1329" i="3"/>
  <c r="D1329" i="3"/>
  <c r="A1329" i="3"/>
  <c r="H1328" i="3"/>
  <c r="G1328" i="3"/>
  <c r="F1328" i="3"/>
  <c r="D1328" i="3"/>
  <c r="A1328" i="3"/>
  <c r="H1327" i="3"/>
  <c r="G1327" i="3"/>
  <c r="F1327" i="3"/>
  <c r="D1327" i="3"/>
  <c r="A1327" i="3"/>
  <c r="H1326" i="3"/>
  <c r="G1326" i="3"/>
  <c r="F1326" i="3"/>
  <c r="D1326" i="3"/>
  <c r="A1326" i="3"/>
  <c r="H1325" i="3"/>
  <c r="G1325" i="3"/>
  <c r="F1325" i="3"/>
  <c r="D1325" i="3"/>
  <c r="A1325" i="3"/>
  <c r="H1324" i="3"/>
  <c r="G1324" i="3"/>
  <c r="F1324" i="3"/>
  <c r="D1324" i="3"/>
  <c r="A1324" i="3"/>
  <c r="H1323" i="3"/>
  <c r="G1323" i="3"/>
  <c r="F1323" i="3"/>
  <c r="D1323" i="3"/>
  <c r="A1323" i="3"/>
  <c r="H1322" i="3"/>
  <c r="G1322" i="3"/>
  <c r="F1322" i="3"/>
  <c r="D1322" i="3"/>
  <c r="A1322" i="3"/>
  <c r="H1321" i="3"/>
  <c r="G1321" i="3"/>
  <c r="F1321" i="3"/>
  <c r="D1321" i="3"/>
  <c r="A1321" i="3"/>
  <c r="H1320" i="3"/>
  <c r="G1320" i="3"/>
  <c r="F1320" i="3"/>
  <c r="D1320" i="3"/>
  <c r="A1320" i="3"/>
  <c r="J1319" i="3"/>
  <c r="H1319" i="3"/>
  <c r="G1319" i="3"/>
  <c r="F1319" i="3"/>
  <c r="D1319" i="3"/>
  <c r="A1319" i="3"/>
  <c r="J1318" i="3"/>
  <c r="H1318" i="3"/>
  <c r="G1318" i="3"/>
  <c r="F1318" i="3"/>
  <c r="D1318" i="3"/>
  <c r="A1318" i="3"/>
  <c r="H1317" i="3"/>
  <c r="G1317" i="3"/>
  <c r="F1317" i="3"/>
  <c r="D1317" i="3"/>
  <c r="A1317" i="3"/>
  <c r="H1316" i="3"/>
  <c r="G1316" i="3"/>
  <c r="F1316" i="3"/>
  <c r="D1316" i="3"/>
  <c r="A1316" i="3"/>
  <c r="J1315" i="3"/>
  <c r="H1315" i="3"/>
  <c r="G1315" i="3"/>
  <c r="F1315" i="3"/>
  <c r="D1315" i="3"/>
  <c r="A1315" i="3"/>
  <c r="J1314" i="3"/>
  <c r="H1314" i="3"/>
  <c r="G1314" i="3"/>
  <c r="F1314" i="3"/>
  <c r="D1314" i="3"/>
  <c r="A1314" i="3"/>
  <c r="J1313" i="3"/>
  <c r="H1313" i="3"/>
  <c r="G1313" i="3"/>
  <c r="F1313" i="3"/>
  <c r="D1313" i="3"/>
  <c r="A1313" i="3"/>
  <c r="H1312" i="3"/>
  <c r="G1312" i="3"/>
  <c r="F1312" i="3"/>
  <c r="D1312" i="3"/>
  <c r="A1312" i="3"/>
  <c r="J1311" i="3"/>
  <c r="H1311" i="3"/>
  <c r="G1311" i="3"/>
  <c r="F1311" i="3"/>
  <c r="D1311" i="3"/>
  <c r="A1311" i="3"/>
  <c r="H1310" i="3"/>
  <c r="G1310" i="3"/>
  <c r="F1310" i="3"/>
  <c r="D1310" i="3"/>
  <c r="A1310" i="3"/>
  <c r="J1309" i="3"/>
  <c r="H1309" i="3"/>
  <c r="G1309" i="3"/>
  <c r="F1309" i="3"/>
  <c r="D1309" i="3"/>
  <c r="A1309" i="3"/>
  <c r="J1308" i="3"/>
  <c r="H1308" i="3"/>
  <c r="G1308" i="3"/>
  <c r="F1308" i="3"/>
  <c r="D1308" i="3"/>
  <c r="A1308" i="3"/>
  <c r="H1307" i="3"/>
  <c r="G1307" i="3"/>
  <c r="F1307" i="3"/>
  <c r="D1307" i="3"/>
  <c r="A1307" i="3"/>
  <c r="H1306" i="3"/>
  <c r="G1306" i="3"/>
  <c r="F1306" i="3"/>
  <c r="D1306" i="3"/>
  <c r="A1306" i="3"/>
  <c r="H1305" i="3"/>
  <c r="G1305" i="3"/>
  <c r="F1305" i="3"/>
  <c r="D1305" i="3"/>
  <c r="A1305" i="3"/>
  <c r="J1304" i="3"/>
  <c r="H1304" i="3"/>
  <c r="G1304" i="3"/>
  <c r="F1304" i="3"/>
  <c r="D1304" i="3"/>
  <c r="A1304" i="3"/>
  <c r="H1303" i="3"/>
  <c r="G1303" i="3"/>
  <c r="F1303" i="3"/>
  <c r="D1303" i="3"/>
  <c r="A1303" i="3"/>
  <c r="H1302" i="3"/>
  <c r="G1302" i="3"/>
  <c r="F1302" i="3"/>
  <c r="D1302" i="3"/>
  <c r="A1302" i="3"/>
  <c r="H1301" i="3"/>
  <c r="G1301" i="3"/>
  <c r="F1301" i="3"/>
  <c r="D1301" i="3"/>
  <c r="A1301" i="3"/>
  <c r="H1300" i="3"/>
  <c r="G1300" i="3"/>
  <c r="F1300" i="3"/>
  <c r="D1300" i="3"/>
  <c r="A1300" i="3"/>
  <c r="H1299" i="3"/>
  <c r="G1299" i="3"/>
  <c r="F1299" i="3"/>
  <c r="D1299" i="3"/>
  <c r="A1299" i="3"/>
  <c r="J1298" i="3"/>
  <c r="H1298" i="3"/>
  <c r="G1298" i="3"/>
  <c r="F1298" i="3"/>
  <c r="D1298" i="3"/>
  <c r="A1298" i="3"/>
  <c r="H1297" i="3"/>
  <c r="G1297" i="3"/>
  <c r="F1297" i="3"/>
  <c r="D1297" i="3"/>
  <c r="A1297" i="3"/>
  <c r="J1296" i="3"/>
  <c r="H1296" i="3"/>
  <c r="G1296" i="3"/>
  <c r="F1296" i="3"/>
  <c r="D1296" i="3"/>
  <c r="A1296" i="3"/>
  <c r="J1295" i="3"/>
  <c r="H1295" i="3"/>
  <c r="G1295" i="3"/>
  <c r="F1295" i="3"/>
  <c r="D1295" i="3"/>
  <c r="A1295" i="3"/>
  <c r="J1294" i="3"/>
  <c r="H1294" i="3"/>
  <c r="G1294" i="3"/>
  <c r="F1294" i="3"/>
  <c r="D1294" i="3"/>
  <c r="A1294" i="3"/>
  <c r="J1293" i="3"/>
  <c r="H1293" i="3"/>
  <c r="G1293" i="3"/>
  <c r="F1293" i="3"/>
  <c r="D1293" i="3"/>
  <c r="A1293" i="3"/>
  <c r="J1292" i="3"/>
  <c r="H1292" i="3"/>
  <c r="G1292" i="3"/>
  <c r="F1292" i="3"/>
  <c r="D1292" i="3"/>
  <c r="A1292" i="3"/>
  <c r="H1291" i="3"/>
  <c r="G1291" i="3"/>
  <c r="F1291" i="3"/>
  <c r="D1291" i="3"/>
  <c r="A1291" i="3"/>
  <c r="J1290" i="3"/>
  <c r="H1290" i="3"/>
  <c r="G1290" i="3"/>
  <c r="F1290" i="3"/>
  <c r="D1290" i="3"/>
  <c r="A1290" i="3"/>
  <c r="J1289" i="3"/>
  <c r="H1289" i="3"/>
  <c r="G1289" i="3"/>
  <c r="F1289" i="3"/>
  <c r="D1289" i="3"/>
  <c r="A1289" i="3"/>
  <c r="J1288" i="3"/>
  <c r="H1288" i="3"/>
  <c r="G1288" i="3"/>
  <c r="F1288" i="3"/>
  <c r="D1288" i="3"/>
  <c r="A1288" i="3"/>
  <c r="J1287" i="3"/>
  <c r="H1287" i="3"/>
  <c r="G1287" i="3"/>
  <c r="F1287" i="3"/>
  <c r="D1287" i="3"/>
  <c r="A1287" i="3"/>
  <c r="J1286" i="3"/>
  <c r="H1286" i="3"/>
  <c r="G1286" i="3"/>
  <c r="F1286" i="3"/>
  <c r="D1286" i="3"/>
  <c r="A1286" i="3"/>
  <c r="J1285" i="3"/>
  <c r="H1285" i="3"/>
  <c r="G1285" i="3"/>
  <c r="F1285" i="3"/>
  <c r="D1285" i="3"/>
  <c r="A1285" i="3"/>
  <c r="H1284" i="3"/>
  <c r="G1284" i="3"/>
  <c r="F1284" i="3"/>
  <c r="D1284" i="3"/>
  <c r="A1284" i="3"/>
  <c r="H1283" i="3"/>
  <c r="G1283" i="3"/>
  <c r="F1283" i="3"/>
  <c r="D1283" i="3"/>
  <c r="A1283" i="3"/>
  <c r="H1282" i="3"/>
  <c r="G1282" i="3"/>
  <c r="F1282" i="3"/>
  <c r="D1282" i="3"/>
  <c r="A1282" i="3"/>
  <c r="H1281" i="3"/>
  <c r="G1281" i="3"/>
  <c r="F1281" i="3"/>
  <c r="D1281" i="3"/>
  <c r="A1281" i="3"/>
  <c r="H1280" i="3"/>
  <c r="G1280" i="3"/>
  <c r="F1280" i="3"/>
  <c r="D1280" i="3"/>
  <c r="A1280" i="3"/>
  <c r="J1279" i="3"/>
  <c r="H1279" i="3"/>
  <c r="G1279" i="3"/>
  <c r="F1279" i="3"/>
  <c r="D1279" i="3"/>
  <c r="A1279" i="3"/>
  <c r="H1278" i="3"/>
  <c r="G1278" i="3"/>
  <c r="F1278" i="3"/>
  <c r="D1278" i="3"/>
  <c r="A1278" i="3"/>
  <c r="J1277" i="3"/>
  <c r="H1277" i="3"/>
  <c r="G1277" i="3"/>
  <c r="F1277" i="3"/>
  <c r="D1277" i="3"/>
  <c r="A1277" i="3"/>
  <c r="J1276" i="3"/>
  <c r="H1276" i="3"/>
  <c r="G1276" i="3"/>
  <c r="F1276" i="3"/>
  <c r="D1276" i="3"/>
  <c r="A1276" i="3"/>
  <c r="J1275" i="3"/>
  <c r="H1275" i="3"/>
  <c r="G1275" i="3"/>
  <c r="F1275" i="3"/>
  <c r="D1275" i="3"/>
  <c r="A1275" i="3"/>
  <c r="J1274" i="3"/>
  <c r="H1274" i="3"/>
  <c r="G1274" i="3"/>
  <c r="F1274" i="3"/>
  <c r="D1274" i="3"/>
  <c r="A1274" i="3"/>
  <c r="J1273" i="3"/>
  <c r="H1273" i="3"/>
  <c r="G1273" i="3"/>
  <c r="F1273" i="3"/>
  <c r="D1273" i="3"/>
  <c r="A1273" i="3"/>
  <c r="J1272" i="3"/>
  <c r="H1272" i="3"/>
  <c r="G1272" i="3"/>
  <c r="F1272" i="3"/>
  <c r="D1272" i="3"/>
  <c r="A1272" i="3"/>
  <c r="J1271" i="3"/>
  <c r="H1271" i="3"/>
  <c r="G1271" i="3"/>
  <c r="F1271" i="3"/>
  <c r="D1271" i="3"/>
  <c r="A1271" i="3"/>
  <c r="J1270" i="3"/>
  <c r="H1270" i="3"/>
  <c r="G1270" i="3"/>
  <c r="F1270" i="3"/>
  <c r="D1270" i="3"/>
  <c r="A1270" i="3"/>
  <c r="J1269" i="3"/>
  <c r="H1269" i="3"/>
  <c r="G1269" i="3"/>
  <c r="F1269" i="3"/>
  <c r="D1269" i="3"/>
  <c r="A1269" i="3"/>
  <c r="J1268" i="3"/>
  <c r="H1268" i="3"/>
  <c r="G1268" i="3"/>
  <c r="F1268" i="3"/>
  <c r="D1268" i="3"/>
  <c r="A1268" i="3"/>
  <c r="H1267" i="3"/>
  <c r="G1267" i="3"/>
  <c r="F1267" i="3"/>
  <c r="D1267" i="3"/>
  <c r="A1267" i="3"/>
  <c r="H1266" i="3"/>
  <c r="G1266" i="3"/>
  <c r="F1266" i="3"/>
  <c r="D1266" i="3"/>
  <c r="A1266" i="3"/>
  <c r="J1265" i="3"/>
  <c r="H1265" i="3"/>
  <c r="G1265" i="3"/>
  <c r="F1265" i="3"/>
  <c r="D1265" i="3"/>
  <c r="A1265" i="3"/>
  <c r="J1264" i="3"/>
  <c r="H1264" i="3"/>
  <c r="G1264" i="3"/>
  <c r="F1264" i="3"/>
  <c r="D1264" i="3"/>
  <c r="A1264" i="3"/>
  <c r="H1263" i="3"/>
  <c r="G1263" i="3"/>
  <c r="F1263" i="3"/>
  <c r="D1263" i="3"/>
  <c r="A1263" i="3"/>
  <c r="H1262" i="3"/>
  <c r="G1262" i="3"/>
  <c r="F1262" i="3"/>
  <c r="D1262" i="3"/>
  <c r="A1262" i="3"/>
  <c r="H1261" i="3"/>
  <c r="G1261" i="3"/>
  <c r="F1261" i="3"/>
  <c r="D1261" i="3"/>
  <c r="A1261" i="3"/>
  <c r="H1260" i="3"/>
  <c r="G1260" i="3"/>
  <c r="F1260" i="3"/>
  <c r="D1260" i="3"/>
  <c r="A1260" i="3"/>
  <c r="J1259" i="3"/>
  <c r="H1259" i="3"/>
  <c r="G1259" i="3"/>
  <c r="F1259" i="3"/>
  <c r="D1259" i="3"/>
  <c r="A1259" i="3"/>
  <c r="H1258" i="3"/>
  <c r="G1258" i="3"/>
  <c r="F1258" i="3"/>
  <c r="D1258" i="3"/>
  <c r="A1258" i="3"/>
  <c r="J1257" i="3"/>
  <c r="H1257" i="3"/>
  <c r="G1257" i="3"/>
  <c r="F1257" i="3"/>
  <c r="D1257" i="3"/>
  <c r="A1257" i="3"/>
  <c r="H1256" i="3"/>
  <c r="G1256" i="3"/>
  <c r="F1256" i="3"/>
  <c r="D1256" i="3"/>
  <c r="A1256" i="3"/>
  <c r="H1255" i="3"/>
  <c r="G1255" i="3"/>
  <c r="F1255" i="3"/>
  <c r="D1255" i="3"/>
  <c r="A1255" i="3"/>
  <c r="H1254" i="3"/>
  <c r="G1254" i="3"/>
  <c r="F1254" i="3"/>
  <c r="D1254" i="3"/>
  <c r="A1254" i="3"/>
  <c r="H1253" i="3"/>
  <c r="G1253" i="3"/>
  <c r="F1253" i="3"/>
  <c r="D1253" i="3"/>
  <c r="A1253" i="3"/>
  <c r="H1252" i="3"/>
  <c r="G1252" i="3"/>
  <c r="F1252" i="3"/>
  <c r="D1252" i="3"/>
  <c r="A1252" i="3"/>
  <c r="H1251" i="3"/>
  <c r="G1251" i="3"/>
  <c r="F1251" i="3"/>
  <c r="D1251" i="3"/>
  <c r="A1251" i="3"/>
  <c r="H1250" i="3"/>
  <c r="G1250" i="3"/>
  <c r="F1250" i="3"/>
  <c r="D1250" i="3"/>
  <c r="A1250" i="3"/>
  <c r="J1249" i="3"/>
  <c r="H1249" i="3"/>
  <c r="G1249" i="3"/>
  <c r="F1249" i="3"/>
  <c r="D1249" i="3"/>
  <c r="A1249" i="3"/>
  <c r="J1248" i="3"/>
  <c r="H1248" i="3"/>
  <c r="G1248" i="3"/>
  <c r="F1248" i="3"/>
  <c r="D1248" i="3"/>
  <c r="A1248" i="3"/>
  <c r="J1247" i="3"/>
  <c r="H1247" i="3"/>
  <c r="G1247" i="3"/>
  <c r="F1247" i="3"/>
  <c r="D1247" i="3"/>
  <c r="A1247" i="3"/>
  <c r="J1246" i="3"/>
  <c r="H1246" i="3"/>
  <c r="G1246" i="3"/>
  <c r="F1246" i="3"/>
  <c r="D1246" i="3"/>
  <c r="A1246" i="3"/>
  <c r="J1245" i="3"/>
  <c r="H1245" i="3"/>
  <c r="G1245" i="3"/>
  <c r="F1245" i="3"/>
  <c r="D1245" i="3"/>
  <c r="A1245" i="3"/>
  <c r="J1244" i="3"/>
  <c r="H1244" i="3"/>
  <c r="G1244" i="3"/>
  <c r="F1244" i="3"/>
  <c r="D1244" i="3"/>
  <c r="A1244" i="3"/>
  <c r="H1243" i="3"/>
  <c r="G1243" i="3"/>
  <c r="F1243" i="3"/>
  <c r="D1243" i="3"/>
  <c r="A1243" i="3"/>
  <c r="J1242" i="3"/>
  <c r="H1242" i="3"/>
  <c r="G1242" i="3"/>
  <c r="F1242" i="3"/>
  <c r="D1242" i="3"/>
  <c r="A1242" i="3"/>
  <c r="J1241" i="3"/>
  <c r="H1241" i="3"/>
  <c r="G1241" i="3"/>
  <c r="F1241" i="3"/>
  <c r="D1241" i="3"/>
  <c r="A1241" i="3"/>
  <c r="J1240" i="3"/>
  <c r="H1240" i="3"/>
  <c r="G1240" i="3"/>
  <c r="F1240" i="3"/>
  <c r="D1240" i="3"/>
  <c r="A1240" i="3"/>
  <c r="J1239" i="3"/>
  <c r="H1239" i="3"/>
  <c r="G1239" i="3"/>
  <c r="F1239" i="3"/>
  <c r="D1239" i="3"/>
  <c r="A1239" i="3"/>
  <c r="J1238" i="3"/>
  <c r="H1238" i="3"/>
  <c r="G1238" i="3"/>
  <c r="F1238" i="3"/>
  <c r="D1238" i="3"/>
  <c r="A1238" i="3"/>
  <c r="J1237" i="3"/>
  <c r="H1237" i="3"/>
  <c r="G1237" i="3"/>
  <c r="F1237" i="3"/>
  <c r="D1237" i="3"/>
  <c r="A1237" i="3"/>
  <c r="H1236" i="3"/>
  <c r="G1236" i="3"/>
  <c r="F1236" i="3"/>
  <c r="D1236" i="3"/>
  <c r="A1236" i="3"/>
  <c r="J1235" i="3"/>
  <c r="H1235" i="3"/>
  <c r="G1235" i="3"/>
  <c r="F1235" i="3"/>
  <c r="D1235" i="3"/>
  <c r="A1235" i="3"/>
  <c r="H1234" i="3"/>
  <c r="G1234" i="3"/>
  <c r="F1234" i="3"/>
  <c r="D1234" i="3"/>
  <c r="A1234" i="3"/>
  <c r="H1233" i="3"/>
  <c r="G1233" i="3"/>
  <c r="F1233" i="3"/>
  <c r="D1233" i="3"/>
  <c r="A1233" i="3"/>
  <c r="H1232" i="3"/>
  <c r="G1232" i="3"/>
  <c r="F1232" i="3"/>
  <c r="D1232" i="3"/>
  <c r="A1232" i="3"/>
  <c r="J1231" i="3"/>
  <c r="H1231" i="3"/>
  <c r="G1231" i="3"/>
  <c r="F1231" i="3"/>
  <c r="D1231" i="3"/>
  <c r="A1231" i="3"/>
  <c r="H1230" i="3"/>
  <c r="G1230" i="3"/>
  <c r="F1230" i="3"/>
  <c r="D1230" i="3"/>
  <c r="A1230" i="3"/>
  <c r="J1229" i="3"/>
  <c r="H1229" i="3"/>
  <c r="G1229" i="3"/>
  <c r="F1229" i="3"/>
  <c r="D1229" i="3"/>
  <c r="A1229" i="3"/>
  <c r="J1228" i="3"/>
  <c r="H1228" i="3"/>
  <c r="G1228" i="3"/>
  <c r="F1228" i="3"/>
  <c r="D1228" i="3"/>
  <c r="A1228" i="3"/>
  <c r="J1227" i="3"/>
  <c r="H1227" i="3"/>
  <c r="G1227" i="3"/>
  <c r="F1227" i="3"/>
  <c r="D1227" i="3"/>
  <c r="A1227" i="3"/>
  <c r="H1226" i="3"/>
  <c r="G1226" i="3"/>
  <c r="F1226" i="3"/>
  <c r="D1226" i="3"/>
  <c r="A1226" i="3"/>
  <c r="H1225" i="3"/>
  <c r="G1225" i="3"/>
  <c r="F1225" i="3"/>
  <c r="D1225" i="3"/>
  <c r="A1225" i="3"/>
  <c r="H1224" i="3"/>
  <c r="G1224" i="3"/>
  <c r="F1224" i="3"/>
  <c r="D1224" i="3"/>
  <c r="A1224" i="3"/>
  <c r="J1223" i="3"/>
  <c r="H1223" i="3"/>
  <c r="G1223" i="3"/>
  <c r="F1223" i="3"/>
  <c r="D1223" i="3"/>
  <c r="A1223" i="3"/>
  <c r="J1222" i="3"/>
  <c r="H1222" i="3"/>
  <c r="G1222" i="3"/>
  <c r="F1222" i="3"/>
  <c r="D1222" i="3"/>
  <c r="A1222" i="3"/>
  <c r="H1221" i="3"/>
  <c r="G1221" i="3"/>
  <c r="F1221" i="3"/>
  <c r="D1221" i="3"/>
  <c r="A1221" i="3"/>
  <c r="J1220" i="3"/>
  <c r="H1220" i="3"/>
  <c r="G1220" i="3"/>
  <c r="F1220" i="3"/>
  <c r="D1220" i="3"/>
  <c r="A1220" i="3"/>
  <c r="H1219" i="3"/>
  <c r="G1219" i="3"/>
  <c r="F1219" i="3"/>
  <c r="D1219" i="3"/>
  <c r="A1219" i="3"/>
  <c r="H1218" i="3"/>
  <c r="G1218" i="3"/>
  <c r="F1218" i="3"/>
  <c r="D1218" i="3"/>
  <c r="A1218" i="3"/>
  <c r="H1217" i="3"/>
  <c r="G1217" i="3"/>
  <c r="F1217" i="3"/>
  <c r="D1217" i="3"/>
  <c r="A1217" i="3"/>
  <c r="H1216" i="3"/>
  <c r="G1216" i="3"/>
  <c r="F1216" i="3"/>
  <c r="D1216" i="3"/>
  <c r="A1216" i="3"/>
  <c r="H1215" i="3"/>
  <c r="G1215" i="3"/>
  <c r="F1215" i="3"/>
  <c r="D1215" i="3"/>
  <c r="A1215" i="3"/>
  <c r="J1214" i="3"/>
  <c r="H1214" i="3"/>
  <c r="G1214" i="3"/>
  <c r="F1214" i="3"/>
  <c r="D1214" i="3"/>
  <c r="A1214" i="3"/>
  <c r="H1213" i="3"/>
  <c r="G1213" i="3"/>
  <c r="F1213" i="3"/>
  <c r="D1213" i="3"/>
  <c r="A1213" i="3"/>
  <c r="J1212" i="3"/>
  <c r="H1212" i="3"/>
  <c r="G1212" i="3"/>
  <c r="F1212" i="3"/>
  <c r="D1212" i="3"/>
  <c r="A1212" i="3"/>
  <c r="H1211" i="3"/>
  <c r="G1211" i="3"/>
  <c r="F1211" i="3"/>
  <c r="D1211" i="3"/>
  <c r="A1211" i="3"/>
  <c r="H1210" i="3"/>
  <c r="G1210" i="3"/>
  <c r="F1210" i="3"/>
  <c r="D1210" i="3"/>
  <c r="A1210" i="3"/>
  <c r="H1209" i="3"/>
  <c r="G1209" i="3"/>
  <c r="F1209" i="3"/>
  <c r="D1209" i="3"/>
  <c r="A1209" i="3"/>
  <c r="J1208" i="3"/>
  <c r="H1208" i="3"/>
  <c r="G1208" i="3"/>
  <c r="F1208" i="3"/>
  <c r="D1208" i="3"/>
  <c r="A1208" i="3"/>
  <c r="H1207" i="3"/>
  <c r="G1207" i="3"/>
  <c r="F1207" i="3"/>
  <c r="D1207" i="3"/>
  <c r="A1207" i="3"/>
  <c r="H1206" i="3"/>
  <c r="G1206" i="3"/>
  <c r="F1206" i="3"/>
  <c r="D1206" i="3"/>
  <c r="A1206" i="3"/>
  <c r="H1205" i="3"/>
  <c r="G1205" i="3"/>
  <c r="F1205" i="3"/>
  <c r="D1205" i="3"/>
  <c r="A1205" i="3"/>
  <c r="H1204" i="3"/>
  <c r="G1204" i="3"/>
  <c r="F1204" i="3"/>
  <c r="D1204" i="3"/>
  <c r="A1204" i="3"/>
  <c r="H1203" i="3"/>
  <c r="G1203" i="3"/>
  <c r="F1203" i="3"/>
  <c r="D1203" i="3"/>
  <c r="A1203" i="3"/>
  <c r="J1202" i="3"/>
  <c r="H1202" i="3"/>
  <c r="G1202" i="3"/>
  <c r="F1202" i="3"/>
  <c r="D1202" i="3"/>
  <c r="A1202" i="3"/>
  <c r="J1201" i="3"/>
  <c r="H1201" i="3"/>
  <c r="G1201" i="3"/>
  <c r="F1201" i="3"/>
  <c r="D1201" i="3"/>
  <c r="A1201" i="3"/>
  <c r="J1200" i="3"/>
  <c r="H1200" i="3"/>
  <c r="G1200" i="3"/>
  <c r="F1200" i="3"/>
  <c r="D1200" i="3"/>
  <c r="A1200" i="3"/>
  <c r="J1199" i="3"/>
  <c r="H1199" i="3"/>
  <c r="G1199" i="3"/>
  <c r="F1199" i="3"/>
  <c r="D1199" i="3"/>
  <c r="A1199" i="3"/>
  <c r="J1198" i="3"/>
  <c r="H1198" i="3"/>
  <c r="G1198" i="3"/>
  <c r="F1198" i="3"/>
  <c r="D1198" i="3"/>
  <c r="A1198" i="3"/>
  <c r="H1197" i="3"/>
  <c r="G1197" i="3"/>
  <c r="F1197" i="3"/>
  <c r="D1197" i="3"/>
  <c r="A1197" i="3"/>
  <c r="J1196" i="3"/>
  <c r="H1196" i="3"/>
  <c r="G1196" i="3"/>
  <c r="F1196" i="3"/>
  <c r="D1196" i="3"/>
  <c r="A1196" i="3"/>
  <c r="H1195" i="3"/>
  <c r="G1195" i="3"/>
  <c r="F1195" i="3"/>
  <c r="D1195" i="3"/>
  <c r="A1195" i="3"/>
  <c r="J1194" i="3"/>
  <c r="H1194" i="3"/>
  <c r="G1194" i="3"/>
  <c r="F1194" i="3"/>
  <c r="D1194" i="3"/>
  <c r="A1194" i="3"/>
  <c r="J1193" i="3"/>
  <c r="H1193" i="3"/>
  <c r="G1193" i="3"/>
  <c r="F1193" i="3"/>
  <c r="D1193" i="3"/>
  <c r="A1193" i="3"/>
  <c r="J1192" i="3"/>
  <c r="H1192" i="3"/>
  <c r="G1192" i="3"/>
  <c r="F1192" i="3"/>
  <c r="D1192" i="3"/>
  <c r="A1192" i="3"/>
  <c r="J1191" i="3"/>
  <c r="H1191" i="3"/>
  <c r="G1191" i="3"/>
  <c r="F1191" i="3"/>
  <c r="D1191" i="3"/>
  <c r="A1191" i="3"/>
  <c r="J1190" i="3"/>
  <c r="H1190" i="3"/>
  <c r="G1190" i="3"/>
  <c r="F1190" i="3"/>
  <c r="D1190" i="3"/>
  <c r="A1190" i="3"/>
  <c r="J1189" i="3"/>
  <c r="H1189" i="3"/>
  <c r="G1189" i="3"/>
  <c r="F1189" i="3"/>
  <c r="D1189" i="3"/>
  <c r="A1189" i="3"/>
  <c r="H1188" i="3"/>
  <c r="G1188" i="3"/>
  <c r="F1188" i="3"/>
  <c r="D1188" i="3"/>
  <c r="A1188" i="3"/>
  <c r="J1187" i="3"/>
  <c r="H1187" i="3"/>
  <c r="G1187" i="3"/>
  <c r="F1187" i="3"/>
  <c r="D1187" i="3"/>
  <c r="A1187" i="3"/>
  <c r="H1186" i="3"/>
  <c r="G1186" i="3"/>
  <c r="F1186" i="3"/>
  <c r="D1186" i="3"/>
  <c r="A1186" i="3"/>
  <c r="H1185" i="3"/>
  <c r="G1185" i="3"/>
  <c r="F1185" i="3"/>
  <c r="D1185" i="3"/>
  <c r="A1185" i="3"/>
  <c r="J1184" i="3"/>
  <c r="H1184" i="3"/>
  <c r="G1184" i="3"/>
  <c r="F1184" i="3"/>
  <c r="D1184" i="3"/>
  <c r="A1184" i="3"/>
  <c r="H1183" i="3"/>
  <c r="G1183" i="3"/>
  <c r="F1183" i="3"/>
  <c r="D1183" i="3"/>
  <c r="A1183" i="3"/>
  <c r="J1182" i="3"/>
  <c r="H1182" i="3"/>
  <c r="G1182" i="3"/>
  <c r="F1182" i="3"/>
  <c r="D1182" i="3"/>
  <c r="A1182" i="3"/>
  <c r="J1181" i="3"/>
  <c r="H1181" i="3"/>
  <c r="G1181" i="3"/>
  <c r="F1181" i="3"/>
  <c r="D1181" i="3"/>
  <c r="A1181" i="3"/>
  <c r="J1180" i="3"/>
  <c r="H1180" i="3"/>
  <c r="G1180" i="3"/>
  <c r="F1180" i="3"/>
  <c r="D1180" i="3"/>
  <c r="A1180" i="3"/>
  <c r="J1179" i="3"/>
  <c r="H1179" i="3"/>
  <c r="G1179" i="3"/>
  <c r="F1179" i="3"/>
  <c r="D1179" i="3"/>
  <c r="A1179" i="3"/>
  <c r="J1178" i="3"/>
  <c r="H1178" i="3"/>
  <c r="G1178" i="3"/>
  <c r="F1178" i="3"/>
  <c r="D1178" i="3"/>
  <c r="A1178" i="3"/>
  <c r="J1177" i="3"/>
  <c r="H1177" i="3"/>
  <c r="G1177" i="3"/>
  <c r="F1177" i="3"/>
  <c r="D1177" i="3"/>
  <c r="A1177" i="3"/>
  <c r="J1176" i="3"/>
  <c r="H1176" i="3"/>
  <c r="G1176" i="3"/>
  <c r="F1176" i="3"/>
  <c r="D1176" i="3"/>
  <c r="A1176" i="3"/>
  <c r="H1175" i="3"/>
  <c r="G1175" i="3"/>
  <c r="F1175" i="3"/>
  <c r="D1175" i="3"/>
  <c r="A1175" i="3"/>
  <c r="J1174" i="3"/>
  <c r="H1174" i="3"/>
  <c r="G1174" i="3"/>
  <c r="F1174" i="3"/>
  <c r="D1174" i="3"/>
  <c r="A1174" i="3"/>
  <c r="H1173" i="3"/>
  <c r="G1173" i="3"/>
  <c r="F1173" i="3"/>
  <c r="D1173" i="3"/>
  <c r="A1173" i="3"/>
  <c r="H1172" i="3"/>
  <c r="G1172" i="3"/>
  <c r="F1172" i="3"/>
  <c r="D1172" i="3"/>
  <c r="A1172" i="3"/>
  <c r="J1171" i="3"/>
  <c r="H1171" i="3"/>
  <c r="G1171" i="3"/>
  <c r="F1171" i="3"/>
  <c r="D1171" i="3"/>
  <c r="A1171" i="3"/>
  <c r="H1170" i="3"/>
  <c r="G1170" i="3"/>
  <c r="F1170" i="3"/>
  <c r="D1170" i="3"/>
  <c r="A1170" i="3"/>
  <c r="J1169" i="3"/>
  <c r="H1169" i="3"/>
  <c r="G1169" i="3"/>
  <c r="F1169" i="3"/>
  <c r="D1169" i="3"/>
  <c r="A1169" i="3"/>
  <c r="H1168" i="3"/>
  <c r="G1168" i="3"/>
  <c r="F1168" i="3"/>
  <c r="D1168" i="3"/>
  <c r="A1168" i="3"/>
  <c r="H1167" i="3"/>
  <c r="G1167" i="3"/>
  <c r="F1167" i="3"/>
  <c r="D1167" i="3"/>
  <c r="A1167" i="3"/>
  <c r="J1166" i="3"/>
  <c r="H1166" i="3"/>
  <c r="G1166" i="3"/>
  <c r="F1166" i="3"/>
  <c r="D1166" i="3"/>
  <c r="A1166" i="3"/>
  <c r="J1165" i="3"/>
  <c r="H1165" i="3"/>
  <c r="G1165" i="3"/>
  <c r="F1165" i="3"/>
  <c r="D1165" i="3"/>
  <c r="A1165" i="3"/>
  <c r="J1164" i="3"/>
  <c r="H1164" i="3"/>
  <c r="G1164" i="3"/>
  <c r="F1164" i="3"/>
  <c r="D1164" i="3"/>
  <c r="A1164" i="3"/>
  <c r="H1163" i="3"/>
  <c r="G1163" i="3"/>
  <c r="F1163" i="3"/>
  <c r="D1163" i="3"/>
  <c r="A1163" i="3"/>
  <c r="H1162" i="3"/>
  <c r="G1162" i="3"/>
  <c r="F1162" i="3"/>
  <c r="D1162" i="3"/>
  <c r="A1162" i="3"/>
  <c r="J1161" i="3"/>
  <c r="H1161" i="3"/>
  <c r="G1161" i="3"/>
  <c r="F1161" i="3"/>
  <c r="D1161" i="3"/>
  <c r="A1161" i="3"/>
  <c r="J1160" i="3"/>
  <c r="H1160" i="3"/>
  <c r="G1160" i="3"/>
  <c r="F1160" i="3"/>
  <c r="D1160" i="3"/>
  <c r="A1160" i="3"/>
  <c r="J1159" i="3"/>
  <c r="H1159" i="3"/>
  <c r="G1159" i="3"/>
  <c r="F1159" i="3"/>
  <c r="D1159" i="3"/>
  <c r="A1159" i="3"/>
  <c r="J1158" i="3"/>
  <c r="H1158" i="3"/>
  <c r="G1158" i="3"/>
  <c r="F1158" i="3"/>
  <c r="D1158" i="3"/>
  <c r="A1158" i="3"/>
  <c r="J1157" i="3"/>
  <c r="H1157" i="3"/>
  <c r="G1157" i="3"/>
  <c r="F1157" i="3"/>
  <c r="D1157" i="3"/>
  <c r="A1157" i="3"/>
  <c r="H1156" i="3"/>
  <c r="G1156" i="3"/>
  <c r="F1156" i="3"/>
  <c r="D1156" i="3"/>
  <c r="A1156" i="3"/>
  <c r="J1155" i="3"/>
  <c r="H1155" i="3"/>
  <c r="G1155" i="3"/>
  <c r="F1155" i="3"/>
  <c r="D1155" i="3"/>
  <c r="A1155" i="3"/>
  <c r="J1154" i="3"/>
  <c r="H1154" i="3"/>
  <c r="G1154" i="3"/>
  <c r="F1154" i="3"/>
  <c r="D1154" i="3"/>
  <c r="A1154" i="3"/>
  <c r="J1153" i="3"/>
  <c r="H1153" i="3"/>
  <c r="G1153" i="3"/>
  <c r="F1153" i="3"/>
  <c r="D1153" i="3"/>
  <c r="A1153" i="3"/>
  <c r="J1152" i="3"/>
  <c r="H1152" i="3"/>
  <c r="G1152" i="3"/>
  <c r="F1152" i="3"/>
  <c r="D1152" i="3"/>
  <c r="A1152" i="3"/>
  <c r="J1151" i="3"/>
  <c r="H1151" i="3"/>
  <c r="G1151" i="3"/>
  <c r="F1151" i="3"/>
  <c r="D1151" i="3"/>
  <c r="A1151" i="3"/>
  <c r="H1150" i="3"/>
  <c r="G1150" i="3"/>
  <c r="F1150" i="3"/>
  <c r="D1150" i="3"/>
  <c r="A1150" i="3"/>
  <c r="H1149" i="3"/>
  <c r="G1149" i="3"/>
  <c r="F1149" i="3"/>
  <c r="D1149" i="3"/>
  <c r="A1149" i="3"/>
  <c r="J1148" i="3"/>
  <c r="H1148" i="3"/>
  <c r="G1148" i="3"/>
  <c r="F1148" i="3"/>
  <c r="D1148" i="3"/>
  <c r="A1148" i="3"/>
  <c r="H1147" i="3"/>
  <c r="G1147" i="3"/>
  <c r="F1147" i="3"/>
  <c r="D1147" i="3"/>
  <c r="A1147" i="3"/>
  <c r="J1146" i="3"/>
  <c r="H1146" i="3"/>
  <c r="G1146" i="3"/>
  <c r="F1146" i="3"/>
  <c r="D1146" i="3"/>
  <c r="A1146" i="3"/>
  <c r="J1145" i="3"/>
  <c r="H1145" i="3"/>
  <c r="G1145" i="3"/>
  <c r="F1145" i="3"/>
  <c r="D1145" i="3"/>
  <c r="A1145" i="3"/>
  <c r="H1144" i="3"/>
  <c r="G1144" i="3"/>
  <c r="F1144" i="3"/>
  <c r="D1144" i="3"/>
  <c r="A1144" i="3"/>
  <c r="H1143" i="3"/>
  <c r="G1143" i="3"/>
  <c r="F1143" i="3"/>
  <c r="D1143" i="3"/>
  <c r="A1143" i="3"/>
  <c r="J1142" i="3"/>
  <c r="H1142" i="3"/>
  <c r="G1142" i="3"/>
  <c r="F1142" i="3"/>
  <c r="D1142" i="3"/>
  <c r="A1142" i="3"/>
  <c r="J1141" i="3"/>
  <c r="H1141" i="3"/>
  <c r="G1141" i="3"/>
  <c r="F1141" i="3"/>
  <c r="D1141" i="3"/>
  <c r="A1141" i="3"/>
  <c r="H1140" i="3"/>
  <c r="G1140" i="3"/>
  <c r="F1140" i="3"/>
  <c r="D1140" i="3"/>
  <c r="A1140" i="3"/>
  <c r="J1139" i="3"/>
  <c r="H1139" i="3"/>
  <c r="G1139" i="3"/>
  <c r="F1139" i="3"/>
  <c r="D1139" i="3"/>
  <c r="A1139" i="3"/>
  <c r="J1138" i="3"/>
  <c r="H1138" i="3"/>
  <c r="G1138" i="3"/>
  <c r="F1138" i="3"/>
  <c r="D1138" i="3"/>
  <c r="A1138" i="3"/>
  <c r="H1137" i="3"/>
  <c r="G1137" i="3"/>
  <c r="F1137" i="3"/>
  <c r="D1137" i="3"/>
  <c r="A1137" i="3"/>
  <c r="J1136" i="3"/>
  <c r="H1136" i="3"/>
  <c r="G1136" i="3"/>
  <c r="F1136" i="3"/>
  <c r="D1136" i="3"/>
  <c r="A1136" i="3"/>
  <c r="J1135" i="3"/>
  <c r="H1135" i="3"/>
  <c r="G1135" i="3"/>
  <c r="F1135" i="3"/>
  <c r="D1135" i="3"/>
  <c r="A1135" i="3"/>
  <c r="J1134" i="3"/>
  <c r="H1134" i="3"/>
  <c r="G1134" i="3"/>
  <c r="F1134" i="3"/>
  <c r="D1134" i="3"/>
  <c r="A1134" i="3"/>
  <c r="J1133" i="3"/>
  <c r="H1133" i="3"/>
  <c r="G1133" i="3"/>
  <c r="F1133" i="3"/>
  <c r="D1133" i="3"/>
  <c r="A1133" i="3"/>
  <c r="J1132" i="3"/>
  <c r="H1132" i="3"/>
  <c r="G1132" i="3"/>
  <c r="F1132" i="3"/>
  <c r="D1132" i="3"/>
  <c r="A1132" i="3"/>
  <c r="J1131" i="3"/>
  <c r="H1131" i="3"/>
  <c r="G1131" i="3"/>
  <c r="F1131" i="3"/>
  <c r="D1131" i="3"/>
  <c r="A1131" i="3"/>
  <c r="H1130" i="3"/>
  <c r="G1130" i="3"/>
  <c r="F1130" i="3"/>
  <c r="D1130" i="3"/>
  <c r="A1130" i="3"/>
  <c r="J1129" i="3"/>
  <c r="H1129" i="3"/>
  <c r="G1129" i="3"/>
  <c r="F1129" i="3"/>
  <c r="D1129" i="3"/>
  <c r="A1129" i="3"/>
  <c r="J1128" i="3"/>
  <c r="H1128" i="3"/>
  <c r="G1128" i="3"/>
  <c r="F1128" i="3"/>
  <c r="D1128" i="3"/>
  <c r="A1128" i="3"/>
  <c r="J1127" i="3"/>
  <c r="H1127" i="3"/>
  <c r="G1127" i="3"/>
  <c r="F1127" i="3"/>
  <c r="D1127" i="3"/>
  <c r="A1127" i="3"/>
  <c r="J1126" i="3"/>
  <c r="H1126" i="3"/>
  <c r="G1126" i="3"/>
  <c r="F1126" i="3"/>
  <c r="D1126" i="3"/>
  <c r="A1126" i="3"/>
  <c r="J1125" i="3"/>
  <c r="H1125" i="3"/>
  <c r="G1125" i="3"/>
  <c r="F1125" i="3"/>
  <c r="D1125" i="3"/>
  <c r="A1125" i="3"/>
  <c r="H1124" i="3"/>
  <c r="G1124" i="3"/>
  <c r="F1124" i="3"/>
  <c r="D1124" i="3"/>
  <c r="A1124" i="3"/>
  <c r="J1123" i="3"/>
  <c r="H1123" i="3"/>
  <c r="G1123" i="3"/>
  <c r="F1123" i="3"/>
  <c r="D1123" i="3"/>
  <c r="A1123" i="3"/>
  <c r="J1122" i="3"/>
  <c r="H1122" i="3"/>
  <c r="G1122" i="3"/>
  <c r="F1122" i="3"/>
  <c r="D1122" i="3"/>
  <c r="A1122" i="3"/>
  <c r="H1121" i="3"/>
  <c r="G1121" i="3"/>
  <c r="F1121" i="3"/>
  <c r="D1121" i="3"/>
  <c r="A1121" i="3"/>
  <c r="J1120" i="3"/>
  <c r="H1120" i="3"/>
  <c r="G1120" i="3"/>
  <c r="F1120" i="3"/>
  <c r="D1120" i="3"/>
  <c r="A1120" i="3"/>
  <c r="J1119" i="3"/>
  <c r="H1119" i="3"/>
  <c r="G1119" i="3"/>
  <c r="F1119" i="3"/>
  <c r="D1119" i="3"/>
  <c r="A1119" i="3"/>
  <c r="H1118" i="3"/>
  <c r="G1118" i="3"/>
  <c r="F1118" i="3"/>
  <c r="D1118" i="3"/>
  <c r="A1118" i="3"/>
  <c r="J1117" i="3"/>
  <c r="H1117" i="3"/>
  <c r="G1117" i="3"/>
  <c r="F1117" i="3"/>
  <c r="D1117" i="3"/>
  <c r="A1117" i="3"/>
  <c r="J1116" i="3"/>
  <c r="H1116" i="3"/>
  <c r="G1116" i="3"/>
  <c r="F1116" i="3"/>
  <c r="D1116" i="3"/>
  <c r="A1116" i="3"/>
  <c r="H1115" i="3"/>
  <c r="G1115" i="3"/>
  <c r="F1115" i="3"/>
  <c r="D1115" i="3"/>
  <c r="A1115" i="3"/>
  <c r="J1114" i="3"/>
  <c r="H1114" i="3"/>
  <c r="G1114" i="3"/>
  <c r="F1114" i="3"/>
  <c r="D1114" i="3"/>
  <c r="A1114" i="3"/>
  <c r="J1113" i="3"/>
  <c r="H1113" i="3"/>
  <c r="G1113" i="3"/>
  <c r="F1113" i="3"/>
  <c r="D1113" i="3"/>
  <c r="A1113" i="3"/>
  <c r="J1112" i="3"/>
  <c r="H1112" i="3"/>
  <c r="G1112" i="3"/>
  <c r="F1112" i="3"/>
  <c r="D1112" i="3"/>
  <c r="A1112" i="3"/>
  <c r="J1111" i="3"/>
  <c r="H1111" i="3"/>
  <c r="G1111" i="3"/>
  <c r="F1111" i="3"/>
  <c r="D1111" i="3"/>
  <c r="A1111" i="3"/>
  <c r="J1110" i="3"/>
  <c r="H1110" i="3"/>
  <c r="G1110" i="3"/>
  <c r="F1110" i="3"/>
  <c r="D1110" i="3"/>
  <c r="A1110" i="3"/>
  <c r="H1109" i="3"/>
  <c r="G1109" i="3"/>
  <c r="F1109" i="3"/>
  <c r="D1109" i="3"/>
  <c r="A1109" i="3"/>
  <c r="J1108" i="3"/>
  <c r="H1108" i="3"/>
  <c r="G1108" i="3"/>
  <c r="F1108" i="3"/>
  <c r="D1108" i="3"/>
  <c r="A1108" i="3"/>
  <c r="H1107" i="3"/>
  <c r="G1107" i="3"/>
  <c r="F1107" i="3"/>
  <c r="D1107" i="3"/>
  <c r="A1107" i="3"/>
  <c r="H1106" i="3"/>
  <c r="G1106" i="3"/>
  <c r="F1106" i="3"/>
  <c r="D1106" i="3"/>
  <c r="A1106" i="3"/>
  <c r="J1105" i="3"/>
  <c r="H1105" i="3"/>
  <c r="G1105" i="3"/>
  <c r="F1105" i="3"/>
  <c r="D1105" i="3"/>
  <c r="A1105" i="3"/>
  <c r="J1104" i="3"/>
  <c r="H1104" i="3"/>
  <c r="G1104" i="3"/>
  <c r="F1104" i="3"/>
  <c r="D1104" i="3"/>
  <c r="A1104" i="3"/>
  <c r="J1103" i="3"/>
  <c r="H1103" i="3"/>
  <c r="G1103" i="3"/>
  <c r="F1103" i="3"/>
  <c r="D1103" i="3"/>
  <c r="A1103" i="3"/>
  <c r="J1102" i="3"/>
  <c r="H1102" i="3"/>
  <c r="G1102" i="3"/>
  <c r="F1102" i="3"/>
  <c r="D1102" i="3"/>
  <c r="A1102" i="3"/>
  <c r="J1101" i="3"/>
  <c r="H1101" i="3"/>
  <c r="G1101" i="3"/>
  <c r="F1101" i="3"/>
  <c r="D1101" i="3"/>
  <c r="A1101" i="3"/>
  <c r="H1100" i="3"/>
  <c r="G1100" i="3"/>
  <c r="F1100" i="3"/>
  <c r="D1100" i="3"/>
  <c r="A1100" i="3"/>
  <c r="J1099" i="3"/>
  <c r="H1099" i="3"/>
  <c r="G1099" i="3"/>
  <c r="F1099" i="3"/>
  <c r="D1099" i="3"/>
  <c r="A1099" i="3"/>
  <c r="J1098" i="3"/>
  <c r="H1098" i="3"/>
  <c r="G1098" i="3"/>
  <c r="F1098" i="3"/>
  <c r="D1098" i="3"/>
  <c r="A1098" i="3"/>
  <c r="J1097" i="3"/>
  <c r="H1097" i="3"/>
  <c r="G1097" i="3"/>
  <c r="F1097" i="3"/>
  <c r="D1097" i="3"/>
  <c r="A1097" i="3"/>
  <c r="J1096" i="3"/>
  <c r="H1096" i="3"/>
  <c r="G1096" i="3"/>
  <c r="F1096" i="3"/>
  <c r="D1096" i="3"/>
  <c r="A1096" i="3"/>
  <c r="J1095" i="3"/>
  <c r="H1095" i="3"/>
  <c r="G1095" i="3"/>
  <c r="F1095" i="3"/>
  <c r="D1095" i="3"/>
  <c r="A1095" i="3"/>
  <c r="J1094" i="3"/>
  <c r="H1094" i="3"/>
  <c r="G1094" i="3"/>
  <c r="F1094" i="3"/>
  <c r="D1094" i="3"/>
  <c r="A1094" i="3"/>
  <c r="J1093" i="3"/>
  <c r="H1093" i="3"/>
  <c r="G1093" i="3"/>
  <c r="F1093" i="3"/>
  <c r="D1093" i="3"/>
  <c r="A1093" i="3"/>
  <c r="J1092" i="3"/>
  <c r="H1092" i="3"/>
  <c r="G1092" i="3"/>
  <c r="F1092" i="3"/>
  <c r="D1092" i="3"/>
  <c r="A1092" i="3"/>
  <c r="J1091" i="3"/>
  <c r="H1091" i="3"/>
  <c r="G1091" i="3"/>
  <c r="F1091" i="3"/>
  <c r="D1091" i="3"/>
  <c r="A1091" i="3"/>
  <c r="J1090" i="3"/>
  <c r="H1090" i="3"/>
  <c r="G1090" i="3"/>
  <c r="F1090" i="3"/>
  <c r="D1090" i="3"/>
  <c r="A1090" i="3"/>
  <c r="J1089" i="3"/>
  <c r="H1089" i="3"/>
  <c r="G1089" i="3"/>
  <c r="F1089" i="3"/>
  <c r="D1089" i="3"/>
  <c r="A1089" i="3"/>
  <c r="J1088" i="3"/>
  <c r="H1088" i="3"/>
  <c r="G1088" i="3"/>
  <c r="F1088" i="3"/>
  <c r="D1088" i="3"/>
  <c r="A1088" i="3"/>
  <c r="H1087" i="3"/>
  <c r="G1087" i="3"/>
  <c r="F1087" i="3"/>
  <c r="D1087" i="3"/>
  <c r="A1087" i="3"/>
  <c r="J1086" i="3"/>
  <c r="H1086" i="3"/>
  <c r="G1086" i="3"/>
  <c r="F1086" i="3"/>
  <c r="D1086" i="3"/>
  <c r="A1086" i="3"/>
  <c r="H1085" i="3"/>
  <c r="G1085" i="3"/>
  <c r="F1085" i="3"/>
  <c r="D1085" i="3"/>
  <c r="A1085" i="3"/>
  <c r="H1084" i="3"/>
  <c r="G1084" i="3"/>
  <c r="F1084" i="3"/>
  <c r="D1084" i="3"/>
  <c r="A1084" i="3"/>
  <c r="J1083" i="3"/>
  <c r="H1083" i="3"/>
  <c r="G1083" i="3"/>
  <c r="F1083" i="3"/>
  <c r="D1083" i="3"/>
  <c r="A1083" i="3"/>
  <c r="J1082" i="3"/>
  <c r="H1082" i="3"/>
  <c r="G1082" i="3"/>
  <c r="F1082" i="3"/>
  <c r="D1082" i="3"/>
  <c r="A1082" i="3"/>
  <c r="H1081" i="3"/>
  <c r="G1081" i="3"/>
  <c r="F1081" i="3"/>
  <c r="D1081" i="3"/>
  <c r="A1081" i="3"/>
  <c r="H1080" i="3"/>
  <c r="G1080" i="3"/>
  <c r="F1080" i="3"/>
  <c r="D1080" i="3"/>
  <c r="A1080" i="3"/>
  <c r="H1079" i="3"/>
  <c r="G1079" i="3"/>
  <c r="F1079" i="3"/>
  <c r="D1079" i="3"/>
  <c r="A1079" i="3"/>
  <c r="J1078" i="3"/>
  <c r="H1078" i="3"/>
  <c r="G1078" i="3"/>
  <c r="F1078" i="3"/>
  <c r="D1078" i="3"/>
  <c r="A1078" i="3"/>
  <c r="J1077" i="3"/>
  <c r="H1077" i="3"/>
  <c r="G1077" i="3"/>
  <c r="F1077" i="3"/>
  <c r="D1077" i="3"/>
  <c r="A1077" i="3"/>
  <c r="H1076" i="3"/>
  <c r="G1076" i="3"/>
  <c r="F1076" i="3"/>
  <c r="D1076" i="3"/>
  <c r="A1076" i="3"/>
  <c r="H1075" i="3"/>
  <c r="G1075" i="3"/>
  <c r="F1075" i="3"/>
  <c r="D1075" i="3"/>
  <c r="A1075" i="3"/>
  <c r="J1074" i="3"/>
  <c r="H1074" i="3"/>
  <c r="G1074" i="3"/>
  <c r="F1074" i="3"/>
  <c r="D1074" i="3"/>
  <c r="A1074" i="3"/>
  <c r="H1073" i="3"/>
  <c r="G1073" i="3"/>
  <c r="F1073" i="3"/>
  <c r="D1073" i="3"/>
  <c r="A1073" i="3"/>
  <c r="J1072" i="3"/>
  <c r="H1072" i="3"/>
  <c r="G1072" i="3"/>
  <c r="F1072" i="3"/>
  <c r="D1072" i="3"/>
  <c r="A1072" i="3"/>
  <c r="J1071" i="3"/>
  <c r="H1071" i="3"/>
  <c r="G1071" i="3"/>
  <c r="F1071" i="3"/>
  <c r="D1071" i="3"/>
  <c r="A1071" i="3"/>
  <c r="J1070" i="3"/>
  <c r="H1070" i="3"/>
  <c r="G1070" i="3"/>
  <c r="F1070" i="3"/>
  <c r="D1070" i="3"/>
  <c r="A1070" i="3"/>
  <c r="H1069" i="3"/>
  <c r="G1069" i="3"/>
  <c r="F1069" i="3"/>
  <c r="D1069" i="3"/>
  <c r="A1069" i="3"/>
  <c r="H1068" i="3"/>
  <c r="G1068" i="3"/>
  <c r="F1068" i="3"/>
  <c r="D1068" i="3"/>
  <c r="A1068" i="3"/>
  <c r="H1067" i="3"/>
  <c r="G1067" i="3"/>
  <c r="F1067" i="3"/>
  <c r="D1067" i="3"/>
  <c r="A1067" i="3"/>
  <c r="H1066" i="3"/>
  <c r="G1066" i="3"/>
  <c r="F1066" i="3"/>
  <c r="D1066" i="3"/>
  <c r="A1066" i="3"/>
  <c r="H1065" i="3"/>
  <c r="G1065" i="3"/>
  <c r="F1065" i="3"/>
  <c r="D1065" i="3"/>
  <c r="A1065" i="3"/>
  <c r="H1064" i="3"/>
  <c r="G1064" i="3"/>
  <c r="F1064" i="3"/>
  <c r="D1064" i="3"/>
  <c r="A1064" i="3"/>
  <c r="H1063" i="3"/>
  <c r="G1063" i="3"/>
  <c r="F1063" i="3"/>
  <c r="D1063" i="3"/>
  <c r="A1063" i="3"/>
  <c r="H1062" i="3"/>
  <c r="G1062" i="3"/>
  <c r="F1062" i="3"/>
  <c r="D1062" i="3"/>
  <c r="A1062" i="3"/>
  <c r="H1061" i="3"/>
  <c r="G1061" i="3"/>
  <c r="F1061" i="3"/>
  <c r="D1061" i="3"/>
  <c r="A1061" i="3"/>
  <c r="H1060" i="3"/>
  <c r="G1060" i="3"/>
  <c r="F1060" i="3"/>
  <c r="D1060" i="3"/>
  <c r="A1060" i="3"/>
  <c r="J1059" i="3"/>
  <c r="H1059" i="3"/>
  <c r="G1059" i="3"/>
  <c r="F1059" i="3"/>
  <c r="D1059" i="3"/>
  <c r="A1059" i="3"/>
  <c r="J1058" i="3"/>
  <c r="H1058" i="3"/>
  <c r="G1058" i="3"/>
  <c r="F1058" i="3"/>
  <c r="D1058" i="3"/>
  <c r="A1058" i="3"/>
  <c r="H1057" i="3"/>
  <c r="G1057" i="3"/>
  <c r="F1057" i="3"/>
  <c r="D1057" i="3"/>
  <c r="A1057" i="3"/>
  <c r="H1056" i="3"/>
  <c r="G1056" i="3"/>
  <c r="F1056" i="3"/>
  <c r="D1056" i="3"/>
  <c r="A1056" i="3"/>
  <c r="H1055" i="3"/>
  <c r="G1055" i="3"/>
  <c r="F1055" i="3"/>
  <c r="D1055" i="3"/>
  <c r="A1055" i="3"/>
  <c r="J1054" i="3"/>
  <c r="H1054" i="3"/>
  <c r="G1054" i="3"/>
  <c r="F1054" i="3"/>
  <c r="D1054" i="3"/>
  <c r="A1054" i="3"/>
  <c r="H1053" i="3"/>
  <c r="G1053" i="3"/>
  <c r="F1053" i="3"/>
  <c r="D1053" i="3"/>
  <c r="A1053" i="3"/>
  <c r="H1052" i="3"/>
  <c r="G1052" i="3"/>
  <c r="F1052" i="3"/>
  <c r="D1052" i="3"/>
  <c r="A1052" i="3"/>
  <c r="J1051" i="3"/>
  <c r="H1051" i="3"/>
  <c r="G1051" i="3"/>
  <c r="F1051" i="3"/>
  <c r="D1051" i="3"/>
  <c r="A1051" i="3"/>
  <c r="J1050" i="3"/>
  <c r="H1050" i="3"/>
  <c r="G1050" i="3"/>
  <c r="F1050" i="3"/>
  <c r="D1050" i="3"/>
  <c r="A1050" i="3"/>
  <c r="J1049" i="3"/>
  <c r="H1049" i="3"/>
  <c r="G1049" i="3"/>
  <c r="F1049" i="3"/>
  <c r="D1049" i="3"/>
  <c r="A1049" i="3"/>
  <c r="J1048" i="3"/>
  <c r="H1048" i="3"/>
  <c r="G1048" i="3"/>
  <c r="F1048" i="3"/>
  <c r="D1048" i="3"/>
  <c r="A1048" i="3"/>
  <c r="J1047" i="3"/>
  <c r="H1047" i="3"/>
  <c r="G1047" i="3"/>
  <c r="F1047" i="3"/>
  <c r="D1047" i="3"/>
  <c r="A1047" i="3"/>
  <c r="H1046" i="3"/>
  <c r="G1046" i="3"/>
  <c r="F1046" i="3"/>
  <c r="D1046" i="3"/>
  <c r="A1046" i="3"/>
  <c r="H1045" i="3"/>
  <c r="G1045" i="3"/>
  <c r="F1045" i="3"/>
  <c r="D1045" i="3"/>
  <c r="A1045" i="3"/>
  <c r="J1044" i="3"/>
  <c r="H1044" i="3"/>
  <c r="G1044" i="3"/>
  <c r="F1044" i="3"/>
  <c r="D1044" i="3"/>
  <c r="A1044" i="3"/>
  <c r="H1043" i="3"/>
  <c r="G1043" i="3"/>
  <c r="F1043" i="3"/>
  <c r="D1043" i="3"/>
  <c r="A1043" i="3"/>
  <c r="H1042" i="3"/>
  <c r="G1042" i="3"/>
  <c r="F1042" i="3"/>
  <c r="D1042" i="3"/>
  <c r="A1042" i="3"/>
  <c r="H1041" i="3"/>
  <c r="G1041" i="3"/>
  <c r="F1041" i="3"/>
  <c r="D1041" i="3"/>
  <c r="A1041" i="3"/>
  <c r="J1040" i="3"/>
  <c r="H1040" i="3"/>
  <c r="G1040" i="3"/>
  <c r="F1040" i="3"/>
  <c r="D1040" i="3"/>
  <c r="A1040" i="3"/>
  <c r="J1039" i="3"/>
  <c r="H1039" i="3"/>
  <c r="G1039" i="3"/>
  <c r="F1039" i="3"/>
  <c r="D1039" i="3"/>
  <c r="A1039" i="3"/>
  <c r="J1038" i="3"/>
  <c r="H1038" i="3"/>
  <c r="G1038" i="3"/>
  <c r="F1038" i="3"/>
  <c r="D1038" i="3"/>
  <c r="A1038" i="3"/>
  <c r="J1037" i="3"/>
  <c r="H1037" i="3"/>
  <c r="G1037" i="3"/>
  <c r="F1037" i="3"/>
  <c r="D1037" i="3"/>
  <c r="A1037" i="3"/>
  <c r="H1036" i="3"/>
  <c r="G1036" i="3"/>
  <c r="F1036" i="3"/>
  <c r="D1036" i="3"/>
  <c r="A1036" i="3"/>
  <c r="H1035" i="3"/>
  <c r="G1035" i="3"/>
  <c r="F1035" i="3"/>
  <c r="D1035" i="3"/>
  <c r="A1035" i="3"/>
  <c r="H1034" i="3"/>
  <c r="G1034" i="3"/>
  <c r="F1034" i="3"/>
  <c r="D1034" i="3"/>
  <c r="A1034" i="3"/>
  <c r="J1033" i="3"/>
  <c r="H1033" i="3"/>
  <c r="G1033" i="3"/>
  <c r="F1033" i="3"/>
  <c r="D1033" i="3"/>
  <c r="A1033" i="3"/>
  <c r="H1032" i="3"/>
  <c r="G1032" i="3"/>
  <c r="F1032" i="3"/>
  <c r="D1032" i="3"/>
  <c r="A1032" i="3"/>
  <c r="H1031" i="3"/>
  <c r="G1031" i="3"/>
  <c r="F1031" i="3"/>
  <c r="D1031" i="3"/>
  <c r="A1031" i="3"/>
  <c r="H1030" i="3"/>
  <c r="G1030" i="3"/>
  <c r="F1030" i="3"/>
  <c r="D1030" i="3"/>
  <c r="A1030" i="3"/>
  <c r="J1029" i="3"/>
  <c r="H1029" i="3"/>
  <c r="G1029" i="3"/>
  <c r="F1029" i="3"/>
  <c r="D1029" i="3"/>
  <c r="A1029" i="3"/>
  <c r="H1028" i="3"/>
  <c r="G1028" i="3"/>
  <c r="F1028" i="3"/>
  <c r="D1028" i="3"/>
  <c r="A1028" i="3"/>
  <c r="H1027" i="3"/>
  <c r="G1027" i="3"/>
  <c r="F1027" i="3"/>
  <c r="D1027" i="3"/>
  <c r="A1027" i="3"/>
  <c r="J1026" i="3"/>
  <c r="H1026" i="3"/>
  <c r="G1026" i="3"/>
  <c r="F1026" i="3"/>
  <c r="D1026" i="3"/>
  <c r="A1026" i="3"/>
  <c r="J1025" i="3"/>
  <c r="H1025" i="3"/>
  <c r="G1025" i="3"/>
  <c r="F1025" i="3"/>
  <c r="D1025" i="3"/>
  <c r="A1025" i="3"/>
  <c r="H1024" i="3"/>
  <c r="G1024" i="3"/>
  <c r="F1024" i="3"/>
  <c r="D1024" i="3"/>
  <c r="A1024" i="3"/>
  <c r="J1023" i="3"/>
  <c r="H1023" i="3"/>
  <c r="G1023" i="3"/>
  <c r="F1023" i="3"/>
  <c r="D1023" i="3"/>
  <c r="A1023" i="3"/>
  <c r="J1022" i="3"/>
  <c r="H1022" i="3"/>
  <c r="G1022" i="3"/>
  <c r="F1022" i="3"/>
  <c r="D1022" i="3"/>
  <c r="A1022" i="3"/>
  <c r="H1021" i="3"/>
  <c r="G1021" i="3"/>
  <c r="F1021" i="3"/>
  <c r="D1021" i="3"/>
  <c r="A1021" i="3"/>
  <c r="H1020" i="3"/>
  <c r="G1020" i="3"/>
  <c r="F1020" i="3"/>
  <c r="D1020" i="3"/>
  <c r="A1020" i="3"/>
  <c r="H1019" i="3"/>
  <c r="G1019" i="3"/>
  <c r="F1019" i="3"/>
  <c r="D1019" i="3"/>
  <c r="A1019" i="3"/>
  <c r="J1018" i="3"/>
  <c r="H1018" i="3"/>
  <c r="G1018" i="3"/>
  <c r="F1018" i="3"/>
  <c r="D1018" i="3"/>
  <c r="A1018" i="3"/>
  <c r="J1017" i="3"/>
  <c r="H1017" i="3"/>
  <c r="G1017" i="3"/>
  <c r="F1017" i="3"/>
  <c r="D1017" i="3"/>
  <c r="A1017" i="3"/>
  <c r="H1016" i="3"/>
  <c r="G1016" i="3"/>
  <c r="F1016" i="3"/>
  <c r="D1016" i="3"/>
  <c r="A1016" i="3"/>
  <c r="J1015" i="3"/>
  <c r="H1015" i="3"/>
  <c r="G1015" i="3"/>
  <c r="F1015" i="3"/>
  <c r="D1015" i="3"/>
  <c r="A1015" i="3"/>
  <c r="J1014" i="3"/>
  <c r="H1014" i="3"/>
  <c r="G1014" i="3"/>
  <c r="F1014" i="3"/>
  <c r="D1014" i="3"/>
  <c r="A1014" i="3"/>
  <c r="J1013" i="3"/>
  <c r="H1013" i="3"/>
  <c r="G1013" i="3"/>
  <c r="F1013" i="3"/>
  <c r="D1013" i="3"/>
  <c r="A1013" i="3"/>
  <c r="J1012" i="3"/>
  <c r="H1012" i="3"/>
  <c r="G1012" i="3"/>
  <c r="F1012" i="3"/>
  <c r="D1012" i="3"/>
  <c r="A1012" i="3"/>
  <c r="J1011" i="3"/>
  <c r="H1011" i="3"/>
  <c r="G1011" i="3"/>
  <c r="F1011" i="3"/>
  <c r="D1011" i="3"/>
  <c r="A1011" i="3"/>
  <c r="J1010" i="3"/>
  <c r="H1010" i="3"/>
  <c r="G1010" i="3"/>
  <c r="F1010" i="3"/>
  <c r="D1010" i="3"/>
  <c r="A1010" i="3"/>
  <c r="H1009" i="3"/>
  <c r="G1009" i="3"/>
  <c r="F1009" i="3"/>
  <c r="D1009" i="3"/>
  <c r="A1009" i="3"/>
  <c r="H1008" i="3"/>
  <c r="G1008" i="3"/>
  <c r="F1008" i="3"/>
  <c r="D1008" i="3"/>
  <c r="A1008" i="3"/>
  <c r="J1007" i="3"/>
  <c r="H1007" i="3"/>
  <c r="G1007" i="3"/>
  <c r="F1007" i="3"/>
  <c r="D1007" i="3"/>
  <c r="A1007" i="3"/>
  <c r="H1006" i="3"/>
  <c r="G1006" i="3"/>
  <c r="F1006" i="3"/>
  <c r="D1006" i="3"/>
  <c r="A1006" i="3"/>
  <c r="H1005" i="3"/>
  <c r="G1005" i="3"/>
  <c r="F1005" i="3"/>
  <c r="D1005" i="3"/>
  <c r="A1005" i="3"/>
  <c r="J1004" i="3"/>
  <c r="H1004" i="3"/>
  <c r="G1004" i="3"/>
  <c r="F1004" i="3"/>
  <c r="D1004" i="3"/>
  <c r="A1004" i="3"/>
  <c r="J1003" i="3"/>
  <c r="H1003" i="3"/>
  <c r="G1003" i="3"/>
  <c r="F1003" i="3"/>
  <c r="D1003" i="3"/>
  <c r="A1003" i="3"/>
  <c r="H1002" i="3"/>
  <c r="G1002" i="3"/>
  <c r="F1002" i="3"/>
  <c r="D1002" i="3"/>
  <c r="A1002" i="3"/>
  <c r="J1001" i="3"/>
  <c r="H1001" i="3"/>
  <c r="G1001" i="3"/>
  <c r="F1001" i="3"/>
  <c r="D1001" i="3"/>
  <c r="A1001" i="3"/>
  <c r="J1000" i="3"/>
  <c r="H1000" i="3"/>
  <c r="G1000" i="3"/>
  <c r="F1000" i="3"/>
  <c r="D1000" i="3"/>
  <c r="A1000" i="3"/>
  <c r="H999" i="3"/>
  <c r="G999" i="3"/>
  <c r="F999" i="3"/>
  <c r="D999" i="3"/>
  <c r="A999" i="3"/>
  <c r="J998" i="3"/>
  <c r="H998" i="3"/>
  <c r="G998" i="3"/>
  <c r="F998" i="3"/>
  <c r="D998" i="3"/>
  <c r="A998" i="3"/>
  <c r="J997" i="3"/>
  <c r="H997" i="3"/>
  <c r="G997" i="3"/>
  <c r="F997" i="3"/>
  <c r="D997" i="3"/>
  <c r="A997" i="3"/>
  <c r="H996" i="3"/>
  <c r="G996" i="3"/>
  <c r="F996" i="3"/>
  <c r="D996" i="3"/>
  <c r="A996" i="3"/>
  <c r="H995" i="3"/>
  <c r="G995" i="3"/>
  <c r="F995" i="3"/>
  <c r="D995" i="3"/>
  <c r="A995" i="3"/>
  <c r="H994" i="3"/>
  <c r="G994" i="3"/>
  <c r="F994" i="3"/>
  <c r="D994" i="3"/>
  <c r="A994" i="3"/>
  <c r="H993" i="3"/>
  <c r="G993" i="3"/>
  <c r="F993" i="3"/>
  <c r="D993" i="3"/>
  <c r="A993" i="3"/>
  <c r="H992" i="3"/>
  <c r="G992" i="3"/>
  <c r="F992" i="3"/>
  <c r="D992" i="3"/>
  <c r="A992" i="3"/>
  <c r="J991" i="3"/>
  <c r="H991" i="3"/>
  <c r="G991" i="3"/>
  <c r="F991" i="3"/>
  <c r="D991" i="3"/>
  <c r="A991" i="3"/>
  <c r="J990" i="3"/>
  <c r="H990" i="3"/>
  <c r="G990" i="3"/>
  <c r="F990" i="3"/>
  <c r="D990" i="3"/>
  <c r="A990" i="3"/>
  <c r="H989" i="3"/>
  <c r="G989" i="3"/>
  <c r="F989" i="3"/>
  <c r="D989" i="3"/>
  <c r="A989" i="3"/>
  <c r="H988" i="3"/>
  <c r="G988" i="3"/>
  <c r="F988" i="3"/>
  <c r="D988" i="3"/>
  <c r="A988" i="3"/>
  <c r="J987" i="3"/>
  <c r="H987" i="3"/>
  <c r="G987" i="3"/>
  <c r="F987" i="3"/>
  <c r="D987" i="3"/>
  <c r="A987" i="3"/>
  <c r="J986" i="3"/>
  <c r="H986" i="3"/>
  <c r="G986" i="3"/>
  <c r="F986" i="3"/>
  <c r="D986" i="3"/>
  <c r="A986" i="3"/>
  <c r="J985" i="3"/>
  <c r="H985" i="3"/>
  <c r="G985" i="3"/>
  <c r="F985" i="3"/>
  <c r="D985" i="3"/>
  <c r="A985" i="3"/>
  <c r="J984" i="3"/>
  <c r="H984" i="3"/>
  <c r="G984" i="3"/>
  <c r="F984" i="3"/>
  <c r="D984" i="3"/>
  <c r="A984" i="3"/>
  <c r="H983" i="3"/>
  <c r="G983" i="3"/>
  <c r="F983" i="3"/>
  <c r="D983" i="3"/>
  <c r="A983" i="3"/>
  <c r="J982" i="3"/>
  <c r="H982" i="3"/>
  <c r="G982" i="3"/>
  <c r="F982" i="3"/>
  <c r="D982" i="3"/>
  <c r="A982" i="3"/>
  <c r="H981" i="3"/>
  <c r="G981" i="3"/>
  <c r="F981" i="3"/>
  <c r="D981" i="3"/>
  <c r="A981" i="3"/>
  <c r="J980" i="3"/>
  <c r="H980" i="3"/>
  <c r="G980" i="3"/>
  <c r="F980" i="3"/>
  <c r="D980" i="3"/>
  <c r="A980" i="3"/>
  <c r="J979" i="3"/>
  <c r="H979" i="3"/>
  <c r="G979" i="3"/>
  <c r="F979" i="3"/>
  <c r="D979" i="3"/>
  <c r="A979" i="3"/>
  <c r="J978" i="3"/>
  <c r="H978" i="3"/>
  <c r="G978" i="3"/>
  <c r="F978" i="3"/>
  <c r="D978" i="3"/>
  <c r="A978" i="3"/>
  <c r="H977" i="3"/>
  <c r="G977" i="3"/>
  <c r="F977" i="3"/>
  <c r="D977" i="3"/>
  <c r="A977" i="3"/>
  <c r="H976" i="3"/>
  <c r="G976" i="3"/>
  <c r="F976" i="3"/>
  <c r="D976" i="3"/>
  <c r="A976" i="3"/>
  <c r="J975" i="3"/>
  <c r="H975" i="3"/>
  <c r="G975" i="3"/>
  <c r="F975" i="3"/>
  <c r="D975" i="3"/>
  <c r="A975" i="3"/>
  <c r="J974" i="3"/>
  <c r="H974" i="3"/>
  <c r="G974" i="3"/>
  <c r="F974" i="3"/>
  <c r="D974" i="3"/>
  <c r="A974" i="3"/>
  <c r="J973" i="3"/>
  <c r="H973" i="3"/>
  <c r="G973" i="3"/>
  <c r="F973" i="3"/>
  <c r="D973" i="3"/>
  <c r="A973" i="3"/>
  <c r="J972" i="3"/>
  <c r="H972" i="3"/>
  <c r="G972" i="3"/>
  <c r="F972" i="3"/>
  <c r="D972" i="3"/>
  <c r="A972" i="3"/>
  <c r="J971" i="3"/>
  <c r="H971" i="3"/>
  <c r="G971" i="3"/>
  <c r="F971" i="3"/>
  <c r="D971" i="3"/>
  <c r="A971" i="3"/>
  <c r="J970" i="3"/>
  <c r="H970" i="3"/>
  <c r="G970" i="3"/>
  <c r="F970" i="3"/>
  <c r="D970" i="3"/>
  <c r="A970" i="3"/>
  <c r="H969" i="3"/>
  <c r="G969" i="3"/>
  <c r="F969" i="3"/>
  <c r="D969" i="3"/>
  <c r="A969" i="3"/>
  <c r="H968" i="3"/>
  <c r="G968" i="3"/>
  <c r="F968" i="3"/>
  <c r="D968" i="3"/>
  <c r="A968" i="3"/>
  <c r="J967" i="3"/>
  <c r="H967" i="3"/>
  <c r="G967" i="3"/>
  <c r="F967" i="3"/>
  <c r="D967" i="3"/>
  <c r="A967" i="3"/>
  <c r="J966" i="3"/>
  <c r="H966" i="3"/>
  <c r="G966" i="3"/>
  <c r="F966" i="3"/>
  <c r="D966" i="3"/>
  <c r="A966" i="3"/>
  <c r="H965" i="3"/>
  <c r="G965" i="3"/>
  <c r="F965" i="3"/>
  <c r="D965" i="3"/>
  <c r="A965" i="3"/>
  <c r="J964" i="3"/>
  <c r="H964" i="3"/>
  <c r="G964" i="3"/>
  <c r="F964" i="3"/>
  <c r="D964" i="3"/>
  <c r="A964" i="3"/>
  <c r="J963" i="3"/>
  <c r="H963" i="3"/>
  <c r="G963" i="3"/>
  <c r="F963" i="3"/>
  <c r="D963" i="3"/>
  <c r="A963" i="3"/>
  <c r="J962" i="3"/>
  <c r="H962" i="3"/>
  <c r="G962" i="3"/>
  <c r="F962" i="3"/>
  <c r="D962" i="3"/>
  <c r="A962" i="3"/>
  <c r="H961" i="3"/>
  <c r="G961" i="3"/>
  <c r="F961" i="3"/>
  <c r="D961" i="3"/>
  <c r="A961" i="3"/>
  <c r="J960" i="3"/>
  <c r="H960" i="3"/>
  <c r="G960" i="3"/>
  <c r="F960" i="3"/>
  <c r="D960" i="3"/>
  <c r="A960" i="3"/>
  <c r="H959" i="3"/>
  <c r="G959" i="3"/>
  <c r="F959" i="3"/>
  <c r="D959" i="3"/>
  <c r="A959" i="3"/>
  <c r="H958" i="3"/>
  <c r="G958" i="3"/>
  <c r="F958" i="3"/>
  <c r="D958" i="3"/>
  <c r="A958" i="3"/>
  <c r="H957" i="3"/>
  <c r="G957" i="3"/>
  <c r="F957" i="3"/>
  <c r="D957" i="3"/>
  <c r="A957" i="3"/>
  <c r="J956" i="3"/>
  <c r="H956" i="3"/>
  <c r="G956" i="3"/>
  <c r="F956" i="3"/>
  <c r="D956" i="3"/>
  <c r="A956" i="3"/>
  <c r="H955" i="3"/>
  <c r="G955" i="3"/>
  <c r="F955" i="3"/>
  <c r="D955" i="3"/>
  <c r="A955" i="3"/>
  <c r="J954" i="3"/>
  <c r="H954" i="3"/>
  <c r="G954" i="3"/>
  <c r="F954" i="3"/>
  <c r="D954" i="3"/>
  <c r="A954" i="3"/>
  <c r="J953" i="3"/>
  <c r="H953" i="3"/>
  <c r="G953" i="3"/>
  <c r="F953" i="3"/>
  <c r="D953" i="3"/>
  <c r="A953" i="3"/>
  <c r="J952" i="3"/>
  <c r="H952" i="3"/>
  <c r="G952" i="3"/>
  <c r="F952" i="3"/>
  <c r="D952" i="3"/>
  <c r="A952" i="3"/>
  <c r="H951" i="3"/>
  <c r="G951" i="3"/>
  <c r="F951" i="3"/>
  <c r="D951" i="3"/>
  <c r="A951" i="3"/>
  <c r="H950" i="3"/>
  <c r="G950" i="3"/>
  <c r="F950" i="3"/>
  <c r="D950" i="3"/>
  <c r="A950" i="3"/>
  <c r="H949" i="3"/>
  <c r="G949" i="3"/>
  <c r="F949" i="3"/>
  <c r="D949" i="3"/>
  <c r="A949" i="3"/>
  <c r="H948" i="3"/>
  <c r="G948" i="3"/>
  <c r="F948" i="3"/>
  <c r="D948" i="3"/>
  <c r="A948" i="3"/>
  <c r="J947" i="3"/>
  <c r="H947" i="3"/>
  <c r="G947" i="3"/>
  <c r="F947" i="3"/>
  <c r="D947" i="3"/>
  <c r="A947" i="3"/>
  <c r="J946" i="3"/>
  <c r="H946" i="3"/>
  <c r="G946" i="3"/>
  <c r="F946" i="3"/>
  <c r="D946" i="3"/>
  <c r="A946" i="3"/>
  <c r="J945" i="3"/>
  <c r="H945" i="3"/>
  <c r="G945" i="3"/>
  <c r="F945" i="3"/>
  <c r="D945" i="3"/>
  <c r="A945" i="3"/>
  <c r="H944" i="3"/>
  <c r="G944" i="3"/>
  <c r="F944" i="3"/>
  <c r="D944" i="3"/>
  <c r="A944" i="3"/>
  <c r="H943" i="3"/>
  <c r="G943" i="3"/>
  <c r="F943" i="3"/>
  <c r="D943" i="3"/>
  <c r="A943" i="3"/>
  <c r="H942" i="3"/>
  <c r="G942" i="3"/>
  <c r="F942" i="3"/>
  <c r="D942" i="3"/>
  <c r="A942" i="3"/>
  <c r="J941" i="3"/>
  <c r="H941" i="3"/>
  <c r="G941" i="3"/>
  <c r="F941" i="3"/>
  <c r="D941" i="3"/>
  <c r="A941" i="3"/>
  <c r="H940" i="3"/>
  <c r="G940" i="3"/>
  <c r="F940" i="3"/>
  <c r="D940" i="3"/>
  <c r="A940" i="3"/>
  <c r="H939" i="3"/>
  <c r="G939" i="3"/>
  <c r="F939" i="3"/>
  <c r="D939" i="3"/>
  <c r="A939" i="3"/>
  <c r="J938" i="3"/>
  <c r="H938" i="3"/>
  <c r="G938" i="3"/>
  <c r="F938" i="3"/>
  <c r="D938" i="3"/>
  <c r="A938" i="3"/>
  <c r="J937" i="3"/>
  <c r="H937" i="3"/>
  <c r="G937" i="3"/>
  <c r="F937" i="3"/>
  <c r="D937" i="3"/>
  <c r="A937" i="3"/>
  <c r="H936" i="3"/>
  <c r="G936" i="3"/>
  <c r="F936" i="3"/>
  <c r="D936" i="3"/>
  <c r="A936" i="3"/>
  <c r="J935" i="3"/>
  <c r="H935" i="3"/>
  <c r="G935" i="3"/>
  <c r="F935" i="3"/>
  <c r="D935" i="3"/>
  <c r="A935" i="3"/>
  <c r="H934" i="3"/>
  <c r="G934" i="3"/>
  <c r="F934" i="3"/>
  <c r="D934" i="3"/>
  <c r="A934" i="3"/>
  <c r="H933" i="3"/>
  <c r="G933" i="3"/>
  <c r="F933" i="3"/>
  <c r="D933" i="3"/>
  <c r="A933" i="3"/>
  <c r="H932" i="3"/>
  <c r="G932" i="3"/>
  <c r="F932" i="3"/>
  <c r="D932" i="3"/>
  <c r="A932" i="3"/>
  <c r="J931" i="3"/>
  <c r="H931" i="3"/>
  <c r="G931" i="3"/>
  <c r="F931" i="3"/>
  <c r="D931" i="3"/>
  <c r="A931" i="3"/>
  <c r="J930" i="3"/>
  <c r="H930" i="3"/>
  <c r="G930" i="3"/>
  <c r="F930" i="3"/>
  <c r="D930" i="3"/>
  <c r="A930" i="3"/>
  <c r="J929" i="3"/>
  <c r="H929" i="3"/>
  <c r="G929" i="3"/>
  <c r="F929" i="3"/>
  <c r="D929" i="3"/>
  <c r="A929" i="3"/>
  <c r="H928" i="3"/>
  <c r="G928" i="3"/>
  <c r="F928" i="3"/>
  <c r="D928" i="3"/>
  <c r="A928" i="3"/>
  <c r="H927" i="3"/>
  <c r="G927" i="3"/>
  <c r="F927" i="3"/>
  <c r="D927" i="3"/>
  <c r="A927" i="3"/>
  <c r="H926" i="3"/>
  <c r="G926" i="3"/>
  <c r="F926" i="3"/>
  <c r="D926" i="3"/>
  <c r="A926" i="3"/>
  <c r="J925" i="3"/>
  <c r="H925" i="3"/>
  <c r="G925" i="3"/>
  <c r="F925" i="3"/>
  <c r="D925" i="3"/>
  <c r="A925" i="3"/>
  <c r="H924" i="3"/>
  <c r="G924" i="3"/>
  <c r="F924" i="3"/>
  <c r="D924" i="3"/>
  <c r="A924" i="3"/>
  <c r="H923" i="3"/>
  <c r="G923" i="3"/>
  <c r="F923" i="3"/>
  <c r="D923" i="3"/>
  <c r="A923" i="3"/>
  <c r="H922" i="3"/>
  <c r="G922" i="3"/>
  <c r="F922" i="3"/>
  <c r="D922" i="3"/>
  <c r="A922" i="3"/>
  <c r="H921" i="3"/>
  <c r="G921" i="3"/>
  <c r="F921" i="3"/>
  <c r="D921" i="3"/>
  <c r="A921" i="3"/>
  <c r="H920" i="3"/>
  <c r="G920" i="3"/>
  <c r="F920" i="3"/>
  <c r="D920" i="3"/>
  <c r="A920" i="3"/>
  <c r="J919" i="3"/>
  <c r="H919" i="3"/>
  <c r="G919" i="3"/>
  <c r="F919" i="3"/>
  <c r="D919" i="3"/>
  <c r="A919" i="3"/>
  <c r="J918" i="3"/>
  <c r="H918" i="3"/>
  <c r="G918" i="3"/>
  <c r="F918" i="3"/>
  <c r="D918" i="3"/>
  <c r="A918" i="3"/>
  <c r="H917" i="3"/>
  <c r="G917" i="3"/>
  <c r="F917" i="3"/>
  <c r="D917" i="3"/>
  <c r="A917" i="3"/>
  <c r="H916" i="3"/>
  <c r="G916" i="3"/>
  <c r="F916" i="3"/>
  <c r="D916" i="3"/>
  <c r="A916" i="3"/>
  <c r="H915" i="3"/>
  <c r="G915" i="3"/>
  <c r="F915" i="3"/>
  <c r="D915" i="3"/>
  <c r="A915" i="3"/>
  <c r="H914" i="3"/>
  <c r="G914" i="3"/>
  <c r="F914" i="3"/>
  <c r="D914" i="3"/>
  <c r="A914" i="3"/>
  <c r="H913" i="3"/>
  <c r="G913" i="3"/>
  <c r="F913" i="3"/>
  <c r="D913" i="3"/>
  <c r="A913" i="3"/>
  <c r="H912" i="3"/>
  <c r="G912" i="3"/>
  <c r="F912" i="3"/>
  <c r="D912" i="3"/>
  <c r="A912" i="3"/>
  <c r="H911" i="3"/>
  <c r="G911" i="3"/>
  <c r="F911" i="3"/>
  <c r="D911" i="3"/>
  <c r="A911" i="3"/>
  <c r="H910" i="3"/>
  <c r="G910" i="3"/>
  <c r="F910" i="3"/>
  <c r="D910" i="3"/>
  <c r="A910" i="3"/>
  <c r="H909" i="3"/>
  <c r="G909" i="3"/>
  <c r="F909" i="3"/>
  <c r="D909" i="3"/>
  <c r="A909" i="3"/>
  <c r="H908" i="3"/>
  <c r="G908" i="3"/>
  <c r="F908" i="3"/>
  <c r="D908" i="3"/>
  <c r="A908" i="3"/>
  <c r="H907" i="3"/>
  <c r="G907" i="3"/>
  <c r="F907" i="3"/>
  <c r="D907" i="3"/>
  <c r="A907" i="3"/>
  <c r="H906" i="3"/>
  <c r="G906" i="3"/>
  <c r="F906" i="3"/>
  <c r="D906" i="3"/>
  <c r="A906" i="3"/>
  <c r="H905" i="3"/>
  <c r="G905" i="3"/>
  <c r="F905" i="3"/>
  <c r="D905" i="3"/>
  <c r="A905" i="3"/>
  <c r="J904" i="3"/>
  <c r="H904" i="3"/>
  <c r="G904" i="3"/>
  <c r="F904" i="3"/>
  <c r="D904" i="3"/>
  <c r="A904" i="3"/>
  <c r="H903" i="3"/>
  <c r="G903" i="3"/>
  <c r="F903" i="3"/>
  <c r="D903" i="3"/>
  <c r="A903" i="3"/>
  <c r="J902" i="3"/>
  <c r="H902" i="3"/>
  <c r="G902" i="3"/>
  <c r="F902" i="3"/>
  <c r="D902" i="3"/>
  <c r="A902" i="3"/>
  <c r="H901" i="3"/>
  <c r="G901" i="3"/>
  <c r="F901" i="3"/>
  <c r="D901" i="3"/>
  <c r="A901" i="3"/>
  <c r="J900" i="3"/>
  <c r="H900" i="3"/>
  <c r="G900" i="3"/>
  <c r="F900" i="3"/>
  <c r="D900" i="3"/>
  <c r="A900" i="3"/>
  <c r="J899" i="3"/>
  <c r="H899" i="3"/>
  <c r="G899" i="3"/>
  <c r="F899" i="3"/>
  <c r="D899" i="3"/>
  <c r="A899" i="3"/>
  <c r="J898" i="3"/>
  <c r="H898" i="3"/>
  <c r="G898" i="3"/>
  <c r="F898" i="3"/>
  <c r="D898" i="3"/>
  <c r="A898" i="3"/>
  <c r="H897" i="3"/>
  <c r="G897" i="3"/>
  <c r="F897" i="3"/>
  <c r="D897" i="3"/>
  <c r="A897" i="3"/>
  <c r="H896" i="3"/>
  <c r="G896" i="3"/>
  <c r="F896" i="3"/>
  <c r="D896" i="3"/>
  <c r="A896" i="3"/>
  <c r="J895" i="3"/>
  <c r="H895" i="3"/>
  <c r="G895" i="3"/>
  <c r="F895" i="3"/>
  <c r="D895" i="3"/>
  <c r="A895" i="3"/>
  <c r="H894" i="3"/>
  <c r="G894" i="3"/>
  <c r="F894" i="3"/>
  <c r="D894" i="3"/>
  <c r="A894" i="3"/>
  <c r="J893" i="3"/>
  <c r="H893" i="3"/>
  <c r="G893" i="3"/>
  <c r="F893" i="3"/>
  <c r="D893" i="3"/>
  <c r="A893" i="3"/>
  <c r="J892" i="3"/>
  <c r="H892" i="3"/>
  <c r="G892" i="3"/>
  <c r="F892" i="3"/>
  <c r="D892" i="3"/>
  <c r="A892" i="3"/>
  <c r="J891" i="3"/>
  <c r="H891" i="3"/>
  <c r="G891" i="3"/>
  <c r="F891" i="3"/>
  <c r="D891" i="3"/>
  <c r="A891" i="3"/>
  <c r="J890" i="3"/>
  <c r="H890" i="3"/>
  <c r="G890" i="3"/>
  <c r="F890" i="3"/>
  <c r="D890" i="3"/>
  <c r="A890" i="3"/>
  <c r="J889" i="3"/>
  <c r="H889" i="3"/>
  <c r="G889" i="3"/>
  <c r="F889" i="3"/>
  <c r="D889" i="3"/>
  <c r="A889" i="3"/>
  <c r="J888" i="3"/>
  <c r="H888" i="3"/>
  <c r="G888" i="3"/>
  <c r="F888" i="3"/>
  <c r="D888" i="3"/>
  <c r="A888" i="3"/>
  <c r="H887" i="3"/>
  <c r="G887" i="3"/>
  <c r="F887" i="3"/>
  <c r="D887" i="3"/>
  <c r="A887" i="3"/>
  <c r="J886" i="3"/>
  <c r="H886" i="3"/>
  <c r="G886" i="3"/>
  <c r="F886" i="3"/>
  <c r="D886" i="3"/>
  <c r="A886" i="3"/>
  <c r="H885" i="3"/>
  <c r="G885" i="3"/>
  <c r="F885" i="3"/>
  <c r="D885" i="3"/>
  <c r="A885" i="3"/>
  <c r="H884" i="3"/>
  <c r="G884" i="3"/>
  <c r="F884" i="3"/>
  <c r="D884" i="3"/>
  <c r="A884" i="3"/>
  <c r="J883" i="3"/>
  <c r="H883" i="3"/>
  <c r="G883" i="3"/>
  <c r="F883" i="3"/>
  <c r="D883" i="3"/>
  <c r="A883" i="3"/>
  <c r="J882" i="3"/>
  <c r="H882" i="3"/>
  <c r="G882" i="3"/>
  <c r="F882" i="3"/>
  <c r="D882" i="3"/>
  <c r="A882" i="3"/>
  <c r="J881" i="3"/>
  <c r="H881" i="3"/>
  <c r="G881" i="3"/>
  <c r="F881" i="3"/>
  <c r="D881" i="3"/>
  <c r="A881" i="3"/>
  <c r="H880" i="3"/>
  <c r="G880" i="3"/>
  <c r="F880" i="3"/>
  <c r="D880" i="3"/>
  <c r="A880" i="3"/>
  <c r="J879" i="3"/>
  <c r="H879" i="3"/>
  <c r="G879" i="3"/>
  <c r="F879" i="3"/>
  <c r="D879" i="3"/>
  <c r="A879" i="3"/>
  <c r="J878" i="3"/>
  <c r="H878" i="3"/>
  <c r="G878" i="3"/>
  <c r="F878" i="3"/>
  <c r="D878" i="3"/>
  <c r="A878" i="3"/>
  <c r="H877" i="3"/>
  <c r="G877" i="3"/>
  <c r="F877" i="3"/>
  <c r="D877" i="3"/>
  <c r="A877" i="3"/>
  <c r="J876" i="3"/>
  <c r="H876" i="3"/>
  <c r="G876" i="3"/>
  <c r="F876" i="3"/>
  <c r="D876" i="3"/>
  <c r="A876" i="3"/>
  <c r="J875" i="3"/>
  <c r="H875" i="3"/>
  <c r="G875" i="3"/>
  <c r="F875" i="3"/>
  <c r="D875" i="3"/>
  <c r="A875" i="3"/>
  <c r="H874" i="3"/>
  <c r="G874" i="3"/>
  <c r="F874" i="3"/>
  <c r="D874" i="3"/>
  <c r="A874" i="3"/>
  <c r="H873" i="3"/>
  <c r="G873" i="3"/>
  <c r="F873" i="3"/>
  <c r="D873" i="3"/>
  <c r="A873" i="3"/>
  <c r="H872" i="3"/>
  <c r="G872" i="3"/>
  <c r="F872" i="3"/>
  <c r="D872" i="3"/>
  <c r="A872" i="3"/>
  <c r="H871" i="3"/>
  <c r="G871" i="3"/>
  <c r="F871" i="3"/>
  <c r="D871" i="3"/>
  <c r="A871" i="3"/>
  <c r="J870" i="3"/>
  <c r="H870" i="3"/>
  <c r="G870" i="3"/>
  <c r="F870" i="3"/>
  <c r="D870" i="3"/>
  <c r="A870" i="3"/>
  <c r="J869" i="3"/>
  <c r="H869" i="3"/>
  <c r="G869" i="3"/>
  <c r="F869" i="3"/>
  <c r="D869" i="3"/>
  <c r="A869" i="3"/>
  <c r="J868" i="3"/>
  <c r="H868" i="3"/>
  <c r="G868" i="3"/>
  <c r="F868" i="3"/>
  <c r="D868" i="3"/>
  <c r="A868" i="3"/>
  <c r="J867" i="3"/>
  <c r="H867" i="3"/>
  <c r="G867" i="3"/>
  <c r="F867" i="3"/>
  <c r="D867" i="3"/>
  <c r="A867" i="3"/>
  <c r="H866" i="3"/>
  <c r="G866" i="3"/>
  <c r="F866" i="3"/>
  <c r="D866" i="3"/>
  <c r="A866" i="3"/>
  <c r="J865" i="3"/>
  <c r="H865" i="3"/>
  <c r="G865" i="3"/>
  <c r="F865" i="3"/>
  <c r="D865" i="3"/>
  <c r="A865" i="3"/>
  <c r="H864" i="3"/>
  <c r="G864" i="3"/>
  <c r="F864" i="3"/>
  <c r="D864" i="3"/>
  <c r="A864" i="3"/>
  <c r="J863" i="3"/>
  <c r="H863" i="3"/>
  <c r="G863" i="3"/>
  <c r="F863" i="3"/>
  <c r="D863" i="3"/>
  <c r="A863" i="3"/>
  <c r="J862" i="3"/>
  <c r="H862" i="3"/>
  <c r="G862" i="3"/>
  <c r="F862" i="3"/>
  <c r="D862" i="3"/>
  <c r="A862" i="3"/>
  <c r="H861" i="3"/>
  <c r="G861" i="3"/>
  <c r="F861" i="3"/>
  <c r="D861" i="3"/>
  <c r="A861" i="3"/>
  <c r="H860" i="3"/>
  <c r="G860" i="3"/>
  <c r="F860" i="3"/>
  <c r="D860" i="3"/>
  <c r="A860" i="3"/>
  <c r="H859" i="3"/>
  <c r="G859" i="3"/>
  <c r="F859" i="3"/>
  <c r="D859" i="3"/>
  <c r="A859" i="3"/>
  <c r="H858" i="3"/>
  <c r="G858" i="3"/>
  <c r="F858" i="3"/>
  <c r="D858" i="3"/>
  <c r="A858" i="3"/>
  <c r="J857" i="3"/>
  <c r="H857" i="3"/>
  <c r="G857" i="3"/>
  <c r="F857" i="3"/>
  <c r="D857" i="3"/>
  <c r="A857" i="3"/>
  <c r="J856" i="3"/>
  <c r="H856" i="3"/>
  <c r="G856" i="3"/>
  <c r="F856" i="3"/>
  <c r="A856" i="3"/>
  <c r="J855" i="3"/>
  <c r="H855" i="3"/>
  <c r="G855" i="3"/>
  <c r="F855" i="3"/>
  <c r="D855" i="3"/>
  <c r="A855" i="3"/>
  <c r="J854" i="3"/>
  <c r="H854" i="3"/>
  <c r="G854" i="3"/>
  <c r="F854" i="3"/>
  <c r="D854" i="3"/>
  <c r="A854" i="3"/>
  <c r="H853" i="3"/>
  <c r="G853" i="3"/>
  <c r="F853" i="3"/>
  <c r="D853" i="3"/>
  <c r="A853" i="3"/>
  <c r="H852" i="3"/>
  <c r="G852" i="3"/>
  <c r="F852" i="3"/>
  <c r="D852" i="3"/>
  <c r="A852" i="3"/>
  <c r="J851" i="3"/>
  <c r="H851" i="3"/>
  <c r="G851" i="3"/>
  <c r="F851" i="3"/>
  <c r="D851" i="3"/>
  <c r="A851" i="3"/>
  <c r="J850" i="3"/>
  <c r="H850" i="3"/>
  <c r="G850" i="3"/>
  <c r="F850" i="3"/>
  <c r="D850" i="3"/>
  <c r="A850" i="3"/>
  <c r="H849" i="3"/>
  <c r="G849" i="3"/>
  <c r="F849" i="3"/>
  <c r="D849" i="3"/>
  <c r="A849" i="3"/>
  <c r="J848" i="3"/>
  <c r="H848" i="3"/>
  <c r="G848" i="3"/>
  <c r="F848" i="3"/>
  <c r="D848" i="3"/>
  <c r="A848" i="3"/>
  <c r="J847" i="3"/>
  <c r="H847" i="3"/>
  <c r="G847" i="3"/>
  <c r="F847" i="3"/>
  <c r="D847" i="3"/>
  <c r="A847" i="3"/>
  <c r="H846" i="3"/>
  <c r="G846" i="3"/>
  <c r="F846" i="3"/>
  <c r="D846" i="3"/>
  <c r="A846" i="3"/>
  <c r="H845" i="3"/>
  <c r="G845" i="3"/>
  <c r="F845" i="3"/>
  <c r="D845" i="3"/>
  <c r="A845" i="3"/>
  <c r="H844" i="3"/>
  <c r="G844" i="3"/>
  <c r="F844" i="3"/>
  <c r="D844" i="3"/>
  <c r="A844" i="3"/>
  <c r="J843" i="3"/>
  <c r="H843" i="3"/>
  <c r="G843" i="3"/>
  <c r="F843" i="3"/>
  <c r="D843" i="3"/>
  <c r="A843" i="3"/>
  <c r="H842" i="3"/>
  <c r="G842" i="3"/>
  <c r="F842" i="3"/>
  <c r="D842" i="3"/>
  <c r="A842" i="3"/>
  <c r="J841" i="3"/>
  <c r="H841" i="3"/>
  <c r="G841" i="3"/>
  <c r="F841" i="3"/>
  <c r="D841" i="3"/>
  <c r="A841" i="3"/>
  <c r="J840" i="3"/>
  <c r="H840" i="3"/>
  <c r="G840" i="3"/>
  <c r="F840" i="3"/>
  <c r="D840" i="3"/>
  <c r="A840" i="3"/>
  <c r="J839" i="3"/>
  <c r="H839" i="3"/>
  <c r="G839" i="3"/>
  <c r="F839" i="3"/>
  <c r="D839" i="3"/>
  <c r="A839" i="3"/>
  <c r="H838" i="3"/>
  <c r="G838" i="3"/>
  <c r="F838" i="3"/>
  <c r="D838" i="3"/>
  <c r="A838" i="3"/>
  <c r="J837" i="3"/>
  <c r="H837" i="3"/>
  <c r="G837" i="3"/>
  <c r="F837" i="3"/>
  <c r="D837" i="3"/>
  <c r="A837" i="3"/>
  <c r="J836" i="3"/>
  <c r="H836" i="3"/>
  <c r="G836" i="3"/>
  <c r="F836" i="3"/>
  <c r="D836" i="3"/>
  <c r="A836" i="3"/>
  <c r="H835" i="3"/>
  <c r="G835" i="3"/>
  <c r="F835" i="3"/>
  <c r="D835" i="3"/>
  <c r="A835" i="3"/>
  <c r="H834" i="3"/>
  <c r="G834" i="3"/>
  <c r="F834" i="3"/>
  <c r="D834" i="3"/>
  <c r="A834" i="3"/>
  <c r="H833" i="3"/>
  <c r="G833" i="3"/>
  <c r="F833" i="3"/>
  <c r="D833" i="3"/>
  <c r="A833" i="3"/>
  <c r="J832" i="3"/>
  <c r="H832" i="3"/>
  <c r="G832" i="3"/>
  <c r="F832" i="3"/>
  <c r="D832" i="3"/>
  <c r="A832" i="3"/>
  <c r="J831" i="3"/>
  <c r="H831" i="3"/>
  <c r="G831" i="3"/>
  <c r="F831" i="3"/>
  <c r="D831" i="3"/>
  <c r="A831" i="3"/>
  <c r="J830" i="3"/>
  <c r="H830" i="3"/>
  <c r="G830" i="3"/>
  <c r="F830" i="3"/>
  <c r="D830" i="3"/>
  <c r="A830" i="3"/>
  <c r="J829" i="3"/>
  <c r="H829" i="3"/>
  <c r="G829" i="3"/>
  <c r="F829" i="3"/>
  <c r="D829" i="3"/>
  <c r="A829" i="3"/>
  <c r="J828" i="3"/>
  <c r="H828" i="3"/>
  <c r="G828" i="3"/>
  <c r="F828" i="3"/>
  <c r="D828" i="3"/>
  <c r="A828" i="3"/>
  <c r="J827" i="3"/>
  <c r="H827" i="3"/>
  <c r="G827" i="3"/>
  <c r="F827" i="3"/>
  <c r="D827" i="3"/>
  <c r="A827" i="3"/>
  <c r="J826" i="3"/>
  <c r="H826" i="3"/>
  <c r="G826" i="3"/>
  <c r="F826" i="3"/>
  <c r="D826" i="3"/>
  <c r="A826" i="3"/>
  <c r="H825" i="3"/>
  <c r="G825" i="3"/>
  <c r="F825" i="3"/>
  <c r="D825" i="3"/>
  <c r="A825" i="3"/>
  <c r="J824" i="3"/>
  <c r="H824" i="3"/>
  <c r="G824" i="3"/>
  <c r="F824" i="3"/>
  <c r="D824" i="3"/>
  <c r="A824" i="3"/>
  <c r="H823" i="3"/>
  <c r="G823" i="3"/>
  <c r="F823" i="3"/>
  <c r="A823" i="3"/>
  <c r="J822" i="3"/>
  <c r="H822" i="3"/>
  <c r="G822" i="3"/>
  <c r="F822" i="3"/>
  <c r="D822" i="3"/>
  <c r="A822" i="3"/>
  <c r="J821" i="3"/>
  <c r="H821" i="3"/>
  <c r="G821" i="3"/>
  <c r="F821" i="3"/>
  <c r="D821" i="3"/>
  <c r="A821" i="3"/>
  <c r="H820" i="3"/>
  <c r="G820" i="3"/>
  <c r="F820" i="3"/>
  <c r="D820" i="3"/>
  <c r="A820" i="3"/>
  <c r="J819" i="3"/>
  <c r="H819" i="3"/>
  <c r="G819" i="3"/>
  <c r="F819" i="3"/>
  <c r="D819" i="3"/>
  <c r="A819" i="3"/>
  <c r="J818" i="3"/>
  <c r="H818" i="3"/>
  <c r="G818" i="3"/>
  <c r="F818" i="3"/>
  <c r="D818" i="3"/>
  <c r="A818" i="3"/>
  <c r="H817" i="3"/>
  <c r="G817" i="3"/>
  <c r="F817" i="3"/>
  <c r="D817" i="3"/>
  <c r="A817" i="3"/>
  <c r="H816" i="3"/>
  <c r="G816" i="3"/>
  <c r="F816" i="3"/>
  <c r="A816" i="3"/>
  <c r="J815" i="3"/>
  <c r="H815" i="3"/>
  <c r="G815" i="3"/>
  <c r="F815" i="3"/>
  <c r="D815" i="3"/>
  <c r="A815" i="3"/>
  <c r="J814" i="3"/>
  <c r="H814" i="3"/>
  <c r="G814" i="3"/>
  <c r="F814" i="3"/>
  <c r="D814" i="3"/>
  <c r="A814" i="3"/>
  <c r="H813" i="3"/>
  <c r="G813" i="3"/>
  <c r="F813" i="3"/>
  <c r="D813" i="3"/>
  <c r="A813" i="3"/>
  <c r="H812" i="3"/>
  <c r="G812" i="3"/>
  <c r="F812" i="3"/>
  <c r="D812" i="3"/>
  <c r="A812" i="3"/>
  <c r="H811" i="3"/>
  <c r="G811" i="3"/>
  <c r="F811" i="3"/>
  <c r="D811" i="3"/>
  <c r="A811" i="3"/>
  <c r="J810" i="3"/>
  <c r="H810" i="3"/>
  <c r="G810" i="3"/>
  <c r="F810" i="3"/>
  <c r="D810" i="3"/>
  <c r="A810" i="3"/>
  <c r="J809" i="3"/>
  <c r="H809" i="3"/>
  <c r="G809" i="3"/>
  <c r="F809" i="3"/>
  <c r="D809" i="3"/>
  <c r="A809" i="3"/>
  <c r="H808" i="3"/>
  <c r="G808" i="3"/>
  <c r="F808" i="3"/>
  <c r="D808" i="3"/>
  <c r="A808" i="3"/>
  <c r="J807" i="3"/>
  <c r="H807" i="3"/>
  <c r="G807" i="3"/>
  <c r="F807" i="3"/>
  <c r="D807" i="3"/>
  <c r="A807" i="3"/>
  <c r="J806" i="3"/>
  <c r="H806" i="3"/>
  <c r="G806" i="3"/>
  <c r="F806" i="3"/>
  <c r="D806" i="3"/>
  <c r="A806" i="3"/>
  <c r="J805" i="3"/>
  <c r="H805" i="3"/>
  <c r="G805" i="3"/>
  <c r="F805" i="3"/>
  <c r="D805" i="3"/>
  <c r="A805" i="3"/>
  <c r="H804" i="3"/>
  <c r="G804" i="3"/>
  <c r="F804" i="3"/>
  <c r="D804" i="3"/>
  <c r="A804" i="3"/>
  <c r="H803" i="3"/>
  <c r="G803" i="3"/>
  <c r="F803" i="3"/>
  <c r="D803" i="3"/>
  <c r="A803" i="3"/>
  <c r="H802" i="3"/>
  <c r="G802" i="3"/>
  <c r="F802" i="3"/>
  <c r="D802" i="3"/>
  <c r="A802" i="3"/>
  <c r="H801" i="3"/>
  <c r="G801" i="3"/>
  <c r="F801" i="3"/>
  <c r="D801" i="3"/>
  <c r="A801" i="3"/>
  <c r="H800" i="3"/>
  <c r="G800" i="3"/>
  <c r="F800" i="3"/>
  <c r="D800" i="3"/>
  <c r="A800" i="3"/>
  <c r="J799" i="3"/>
  <c r="H799" i="3"/>
  <c r="G799" i="3"/>
  <c r="F799" i="3"/>
  <c r="D799" i="3"/>
  <c r="A799" i="3"/>
  <c r="H798" i="3"/>
  <c r="G798" i="3"/>
  <c r="F798" i="3"/>
  <c r="D798" i="3"/>
  <c r="A798" i="3"/>
  <c r="J797" i="3"/>
  <c r="H797" i="3"/>
  <c r="G797" i="3"/>
  <c r="F797" i="3"/>
  <c r="D797" i="3"/>
  <c r="A797" i="3"/>
  <c r="J796" i="3"/>
  <c r="H796" i="3"/>
  <c r="G796" i="3"/>
  <c r="F796" i="3"/>
  <c r="D796" i="3"/>
  <c r="A796" i="3"/>
  <c r="H795" i="3"/>
  <c r="G795" i="3"/>
  <c r="F795" i="3"/>
  <c r="D795" i="3"/>
  <c r="A795" i="3"/>
  <c r="H794" i="3"/>
  <c r="G794" i="3"/>
  <c r="F794" i="3"/>
  <c r="D794" i="3"/>
  <c r="A794" i="3"/>
  <c r="H793" i="3"/>
  <c r="G793" i="3"/>
  <c r="F793" i="3"/>
  <c r="D793" i="3"/>
  <c r="A793" i="3"/>
  <c r="J792" i="3"/>
  <c r="H792" i="3"/>
  <c r="G792" i="3"/>
  <c r="F792" i="3"/>
  <c r="D792" i="3"/>
  <c r="A792" i="3"/>
  <c r="H791" i="3"/>
  <c r="G791" i="3"/>
  <c r="F791" i="3"/>
  <c r="D791" i="3"/>
  <c r="A791" i="3"/>
  <c r="J790" i="3"/>
  <c r="H790" i="3"/>
  <c r="G790" i="3"/>
  <c r="F790" i="3"/>
  <c r="D790" i="3"/>
  <c r="A790" i="3"/>
  <c r="H789" i="3"/>
  <c r="G789" i="3"/>
  <c r="F789" i="3"/>
  <c r="D789" i="3"/>
  <c r="A789" i="3"/>
  <c r="J788" i="3"/>
  <c r="H788" i="3"/>
  <c r="G788" i="3"/>
  <c r="F788" i="3"/>
  <c r="D788" i="3"/>
  <c r="A788" i="3"/>
  <c r="J787" i="3"/>
  <c r="H787" i="3"/>
  <c r="G787" i="3"/>
  <c r="F787" i="3"/>
  <c r="D787" i="3"/>
  <c r="A787" i="3"/>
  <c r="J786" i="3"/>
  <c r="H786" i="3"/>
  <c r="G786" i="3"/>
  <c r="F786" i="3"/>
  <c r="D786" i="3"/>
  <c r="A786" i="3"/>
  <c r="H785" i="3"/>
  <c r="G785" i="3"/>
  <c r="F785" i="3"/>
  <c r="D785" i="3"/>
  <c r="A785" i="3"/>
  <c r="H784" i="3"/>
  <c r="G784" i="3"/>
  <c r="F784" i="3"/>
  <c r="D784" i="3"/>
  <c r="A784" i="3"/>
  <c r="J783" i="3"/>
  <c r="H783" i="3"/>
  <c r="G783" i="3"/>
  <c r="F783" i="3"/>
  <c r="D783" i="3"/>
  <c r="A783" i="3"/>
  <c r="H782" i="3"/>
  <c r="G782" i="3"/>
  <c r="F782" i="3"/>
  <c r="D782" i="3"/>
  <c r="A782" i="3"/>
  <c r="J781" i="3"/>
  <c r="H781" i="3"/>
  <c r="G781" i="3"/>
  <c r="F781" i="3"/>
  <c r="D781" i="3"/>
  <c r="A781" i="3"/>
  <c r="J780" i="3"/>
  <c r="H780" i="3"/>
  <c r="G780" i="3"/>
  <c r="F780" i="3"/>
  <c r="D780" i="3"/>
  <c r="A780" i="3"/>
  <c r="J779" i="3"/>
  <c r="H779" i="3"/>
  <c r="G779" i="3"/>
  <c r="F779" i="3"/>
  <c r="D779" i="3"/>
  <c r="A779" i="3"/>
  <c r="J778" i="3"/>
  <c r="H778" i="3"/>
  <c r="G778" i="3"/>
  <c r="F778" i="3"/>
  <c r="D778" i="3"/>
  <c r="A778" i="3"/>
  <c r="H777" i="3"/>
  <c r="G777" i="3"/>
  <c r="F777" i="3"/>
  <c r="D777" i="3"/>
  <c r="A777" i="3"/>
  <c r="H776" i="3"/>
  <c r="G776" i="3"/>
  <c r="F776" i="3"/>
  <c r="D776" i="3"/>
  <c r="A776" i="3"/>
  <c r="H775" i="3"/>
  <c r="G775" i="3"/>
  <c r="F775" i="3"/>
  <c r="D775" i="3"/>
  <c r="A775" i="3"/>
  <c r="J774" i="3"/>
  <c r="H774" i="3"/>
  <c r="G774" i="3"/>
  <c r="F774" i="3"/>
  <c r="D774" i="3"/>
  <c r="A774" i="3"/>
  <c r="J773" i="3"/>
  <c r="H773" i="3"/>
  <c r="G773" i="3"/>
  <c r="F773" i="3"/>
  <c r="D773" i="3"/>
  <c r="A773" i="3"/>
  <c r="J772" i="3"/>
  <c r="H772" i="3"/>
  <c r="G772" i="3"/>
  <c r="F772" i="3"/>
  <c r="D772" i="3"/>
  <c r="A772" i="3"/>
  <c r="J771" i="3"/>
  <c r="H771" i="3"/>
  <c r="G771" i="3"/>
  <c r="F771" i="3"/>
  <c r="D771" i="3"/>
  <c r="A771" i="3"/>
  <c r="J770" i="3"/>
  <c r="H770" i="3"/>
  <c r="G770" i="3"/>
  <c r="F770" i="3"/>
  <c r="D770" i="3"/>
  <c r="A770" i="3"/>
  <c r="J769" i="3"/>
  <c r="H769" i="3"/>
  <c r="G769" i="3"/>
  <c r="F769" i="3"/>
  <c r="D769" i="3"/>
  <c r="A769" i="3"/>
  <c r="H768" i="3"/>
  <c r="G768" i="3"/>
  <c r="F768" i="3"/>
  <c r="D768" i="3"/>
  <c r="A768" i="3"/>
  <c r="H767" i="3"/>
  <c r="G767" i="3"/>
  <c r="F767" i="3"/>
  <c r="D767" i="3"/>
  <c r="A767" i="3"/>
  <c r="H766" i="3"/>
  <c r="G766" i="3"/>
  <c r="F766" i="3"/>
  <c r="D766" i="3"/>
  <c r="A766" i="3"/>
  <c r="H765" i="3"/>
  <c r="G765" i="3"/>
  <c r="F765" i="3"/>
  <c r="D765" i="3"/>
  <c r="A765" i="3"/>
  <c r="J764" i="3"/>
  <c r="H764" i="3"/>
  <c r="G764" i="3"/>
  <c r="F764" i="3"/>
  <c r="D764" i="3"/>
  <c r="A764" i="3"/>
  <c r="H763" i="3"/>
  <c r="G763" i="3"/>
  <c r="F763" i="3"/>
  <c r="D763" i="3"/>
  <c r="A763" i="3"/>
  <c r="J762" i="3"/>
  <c r="H762" i="3"/>
  <c r="G762" i="3"/>
  <c r="F762" i="3"/>
  <c r="D762" i="3"/>
  <c r="A762" i="3"/>
  <c r="J761" i="3"/>
  <c r="H761" i="3"/>
  <c r="G761" i="3"/>
  <c r="F761" i="3"/>
  <c r="D761" i="3"/>
  <c r="A761" i="3"/>
  <c r="H760" i="3"/>
  <c r="G760" i="3"/>
  <c r="F760" i="3"/>
  <c r="A760" i="3"/>
  <c r="H759" i="3"/>
  <c r="G759" i="3"/>
  <c r="F759" i="3"/>
  <c r="D759" i="3"/>
  <c r="A759" i="3"/>
  <c r="J758" i="3"/>
  <c r="H758" i="3"/>
  <c r="G758" i="3"/>
  <c r="F758" i="3"/>
  <c r="A758" i="3"/>
  <c r="H757" i="3"/>
  <c r="G757" i="3"/>
  <c r="F757" i="3"/>
  <c r="D757" i="3"/>
  <c r="A757" i="3"/>
  <c r="J756" i="3"/>
  <c r="H756" i="3"/>
  <c r="G756" i="3"/>
  <c r="F756" i="3"/>
  <c r="D756" i="3"/>
  <c r="A756" i="3"/>
  <c r="J755" i="3"/>
  <c r="H755" i="3"/>
  <c r="G755" i="3"/>
  <c r="F755" i="3"/>
  <c r="D755" i="3"/>
  <c r="A755" i="3"/>
  <c r="H754" i="3"/>
  <c r="G754" i="3"/>
  <c r="F754" i="3"/>
  <c r="D754" i="3"/>
  <c r="A754" i="3"/>
  <c r="J753" i="3"/>
  <c r="H753" i="3"/>
  <c r="G753" i="3"/>
  <c r="F753" i="3"/>
  <c r="D753" i="3"/>
  <c r="A753" i="3"/>
  <c r="J752" i="3"/>
  <c r="H752" i="3"/>
  <c r="G752" i="3"/>
  <c r="F752" i="3"/>
  <c r="D752" i="3"/>
  <c r="A752" i="3"/>
  <c r="J751" i="3"/>
  <c r="H751" i="3"/>
  <c r="G751" i="3"/>
  <c r="F751" i="3"/>
  <c r="D751" i="3"/>
  <c r="A751" i="3"/>
  <c r="H750" i="3"/>
  <c r="G750" i="3"/>
  <c r="F750" i="3"/>
  <c r="D750" i="3"/>
  <c r="A750" i="3"/>
  <c r="H749" i="3"/>
  <c r="G749" i="3"/>
  <c r="F749" i="3"/>
  <c r="D749" i="3"/>
  <c r="A749" i="3"/>
  <c r="H748" i="3"/>
  <c r="G748" i="3"/>
  <c r="F748" i="3"/>
  <c r="D748" i="3"/>
  <c r="A748" i="3"/>
  <c r="J747" i="3"/>
  <c r="H747" i="3"/>
  <c r="G747" i="3"/>
  <c r="F747" i="3"/>
  <c r="D747" i="3"/>
  <c r="A747" i="3"/>
  <c r="J746" i="3"/>
  <c r="H746" i="3"/>
  <c r="G746" i="3"/>
  <c r="F746" i="3"/>
  <c r="D746" i="3"/>
  <c r="A746" i="3"/>
  <c r="J745" i="3"/>
  <c r="H745" i="3"/>
  <c r="G745" i="3"/>
  <c r="F745" i="3"/>
  <c r="D745" i="3"/>
  <c r="A745" i="3"/>
  <c r="H744" i="3"/>
  <c r="G744" i="3"/>
  <c r="F744" i="3"/>
  <c r="D744" i="3"/>
  <c r="A744" i="3"/>
  <c r="J743" i="3"/>
  <c r="H743" i="3"/>
  <c r="G743" i="3"/>
  <c r="F743" i="3"/>
  <c r="D743" i="3"/>
  <c r="A743" i="3"/>
  <c r="H742" i="3"/>
  <c r="G742" i="3"/>
  <c r="F742" i="3"/>
  <c r="D742" i="3"/>
  <c r="A742" i="3"/>
  <c r="J741" i="3"/>
  <c r="H741" i="3"/>
  <c r="G741" i="3"/>
  <c r="F741" i="3"/>
  <c r="D741" i="3"/>
  <c r="A741" i="3"/>
  <c r="H740" i="3"/>
  <c r="G740" i="3"/>
  <c r="F740" i="3"/>
  <c r="D740" i="3"/>
  <c r="A740" i="3"/>
  <c r="H739" i="3"/>
  <c r="G739" i="3"/>
  <c r="F739" i="3"/>
  <c r="D739" i="3"/>
  <c r="A739" i="3"/>
  <c r="J738" i="3"/>
  <c r="H738" i="3"/>
  <c r="G738" i="3"/>
  <c r="F738" i="3"/>
  <c r="D738" i="3"/>
  <c r="A738" i="3"/>
  <c r="H737" i="3"/>
  <c r="G737" i="3"/>
  <c r="F737" i="3"/>
  <c r="D737" i="3"/>
  <c r="A737" i="3"/>
  <c r="H736" i="3"/>
  <c r="G736" i="3"/>
  <c r="F736" i="3"/>
  <c r="D736" i="3"/>
  <c r="A736" i="3"/>
  <c r="H735" i="3"/>
  <c r="G735" i="3"/>
  <c r="F735" i="3"/>
  <c r="D735" i="3"/>
  <c r="A735" i="3"/>
  <c r="J734" i="3"/>
  <c r="H734" i="3"/>
  <c r="G734" i="3"/>
  <c r="F734" i="3"/>
  <c r="D734" i="3"/>
  <c r="A734" i="3"/>
  <c r="J733" i="3"/>
  <c r="H733" i="3"/>
  <c r="G733" i="3"/>
  <c r="F733" i="3"/>
  <c r="D733" i="3"/>
  <c r="A733" i="3"/>
  <c r="H732" i="3"/>
  <c r="G732" i="3"/>
  <c r="F732" i="3"/>
  <c r="D732" i="3"/>
  <c r="A732" i="3"/>
  <c r="J731" i="3"/>
  <c r="H731" i="3"/>
  <c r="G731" i="3"/>
  <c r="F731" i="3"/>
  <c r="D731" i="3"/>
  <c r="A731" i="3"/>
  <c r="J730" i="3"/>
  <c r="H730" i="3"/>
  <c r="G730" i="3"/>
  <c r="F730" i="3"/>
  <c r="D730" i="3"/>
  <c r="A730" i="3"/>
  <c r="J729" i="3"/>
  <c r="H729" i="3"/>
  <c r="G729" i="3"/>
  <c r="F729" i="3"/>
  <c r="D729" i="3"/>
  <c r="A729" i="3"/>
  <c r="J728" i="3"/>
  <c r="H728" i="3"/>
  <c r="G728" i="3"/>
  <c r="F728" i="3"/>
  <c r="D728" i="3"/>
  <c r="A728" i="3"/>
  <c r="H727" i="3"/>
  <c r="G727" i="3"/>
  <c r="F727" i="3"/>
  <c r="D727" i="3"/>
  <c r="A727" i="3"/>
  <c r="J726" i="3"/>
  <c r="H726" i="3"/>
  <c r="G726" i="3"/>
  <c r="F726" i="3"/>
  <c r="D726" i="3"/>
  <c r="A726" i="3"/>
  <c r="J725" i="3"/>
  <c r="H725" i="3"/>
  <c r="G725" i="3"/>
  <c r="F725" i="3"/>
  <c r="D725" i="3"/>
  <c r="A725" i="3"/>
  <c r="H724" i="3"/>
  <c r="G724" i="3"/>
  <c r="F724" i="3"/>
  <c r="D724" i="3"/>
  <c r="A724" i="3"/>
  <c r="J723" i="3"/>
  <c r="H723" i="3"/>
  <c r="G723" i="3"/>
  <c r="F723" i="3"/>
  <c r="D723" i="3"/>
  <c r="A723" i="3"/>
  <c r="J722" i="3"/>
  <c r="H722" i="3"/>
  <c r="G722" i="3"/>
  <c r="F722" i="3"/>
  <c r="D722" i="3"/>
  <c r="A722" i="3"/>
  <c r="J721" i="3"/>
  <c r="H721" i="3"/>
  <c r="G721" i="3"/>
  <c r="F721" i="3"/>
  <c r="D721" i="3"/>
  <c r="A721" i="3"/>
  <c r="H720" i="3"/>
  <c r="G720" i="3"/>
  <c r="F720" i="3"/>
  <c r="D720" i="3"/>
  <c r="A720" i="3"/>
  <c r="H719" i="3"/>
  <c r="G719" i="3"/>
  <c r="F719" i="3"/>
  <c r="D719" i="3"/>
  <c r="A719" i="3"/>
  <c r="H718" i="3"/>
  <c r="G718" i="3"/>
  <c r="F718" i="3"/>
  <c r="D718" i="3"/>
  <c r="A718" i="3"/>
  <c r="J717" i="3"/>
  <c r="H717" i="3"/>
  <c r="G717" i="3"/>
  <c r="F717" i="3"/>
  <c r="D717" i="3"/>
  <c r="A717" i="3"/>
  <c r="H716" i="3"/>
  <c r="G716" i="3"/>
  <c r="F716" i="3"/>
  <c r="D716" i="3"/>
  <c r="A716" i="3"/>
  <c r="H715" i="3"/>
  <c r="G715" i="3"/>
  <c r="F715" i="3"/>
  <c r="D715" i="3"/>
  <c r="A715" i="3"/>
  <c r="H714" i="3"/>
  <c r="G714" i="3"/>
  <c r="F714" i="3"/>
  <c r="D714" i="3"/>
  <c r="A714" i="3"/>
  <c r="H713" i="3"/>
  <c r="G713" i="3"/>
  <c r="F713" i="3"/>
  <c r="D713" i="3"/>
  <c r="A713" i="3"/>
  <c r="H712" i="3"/>
  <c r="G712" i="3"/>
  <c r="F712" i="3"/>
  <c r="D712" i="3"/>
  <c r="A712" i="3"/>
  <c r="J711" i="3"/>
  <c r="H711" i="3"/>
  <c r="G711" i="3"/>
  <c r="F711" i="3"/>
  <c r="D711" i="3"/>
  <c r="A711" i="3"/>
  <c r="J710" i="3"/>
  <c r="H710" i="3"/>
  <c r="G710" i="3"/>
  <c r="F710" i="3"/>
  <c r="D710" i="3"/>
  <c r="A710" i="3"/>
  <c r="J709" i="3"/>
  <c r="H709" i="3"/>
  <c r="G709" i="3"/>
  <c r="F709" i="3"/>
  <c r="D709" i="3"/>
  <c r="A709" i="3"/>
  <c r="J708" i="3"/>
  <c r="H708" i="3"/>
  <c r="G708" i="3"/>
  <c r="F708" i="3"/>
  <c r="D708" i="3"/>
  <c r="A708" i="3"/>
  <c r="J707" i="3"/>
  <c r="H707" i="3"/>
  <c r="G707" i="3"/>
  <c r="F707" i="3"/>
  <c r="D707" i="3"/>
  <c r="A707" i="3"/>
  <c r="J706" i="3"/>
  <c r="H706" i="3"/>
  <c r="G706" i="3"/>
  <c r="F706" i="3"/>
  <c r="D706" i="3"/>
  <c r="A706" i="3"/>
  <c r="H705" i="3"/>
  <c r="G705" i="3"/>
  <c r="F705" i="3"/>
  <c r="D705" i="3"/>
  <c r="A705" i="3"/>
  <c r="J704" i="3"/>
  <c r="H704" i="3"/>
  <c r="G704" i="3"/>
  <c r="F704" i="3"/>
  <c r="D704" i="3"/>
  <c r="A704" i="3"/>
  <c r="H703" i="3"/>
  <c r="G703" i="3"/>
  <c r="F703" i="3"/>
  <c r="D703" i="3"/>
  <c r="A703" i="3"/>
  <c r="H702" i="3"/>
  <c r="G702" i="3"/>
  <c r="F702" i="3"/>
  <c r="D702" i="3"/>
  <c r="A702" i="3"/>
  <c r="J701" i="3"/>
  <c r="H701" i="3"/>
  <c r="G701" i="3"/>
  <c r="F701" i="3"/>
  <c r="D701" i="3"/>
  <c r="A701" i="3"/>
  <c r="H700" i="3"/>
  <c r="G700" i="3"/>
  <c r="F700" i="3"/>
  <c r="D700" i="3"/>
  <c r="A700" i="3"/>
  <c r="J699" i="3"/>
  <c r="H699" i="3"/>
  <c r="G699" i="3"/>
  <c r="F699" i="3"/>
  <c r="D699" i="3"/>
  <c r="A699" i="3"/>
  <c r="J698" i="3"/>
  <c r="H698" i="3"/>
  <c r="G698" i="3"/>
  <c r="F698" i="3"/>
  <c r="D698" i="3"/>
  <c r="A698" i="3"/>
  <c r="H697" i="3"/>
  <c r="G697" i="3"/>
  <c r="F697" i="3"/>
  <c r="D697" i="3"/>
  <c r="A697" i="3"/>
  <c r="J696" i="3"/>
  <c r="H696" i="3"/>
  <c r="G696" i="3"/>
  <c r="F696" i="3"/>
  <c r="D696" i="3"/>
  <c r="A696" i="3"/>
  <c r="H695" i="3"/>
  <c r="G695" i="3"/>
  <c r="F695" i="3"/>
  <c r="D695" i="3"/>
  <c r="A695" i="3"/>
  <c r="H694" i="3"/>
  <c r="G694" i="3"/>
  <c r="F694" i="3"/>
  <c r="D694" i="3"/>
  <c r="A694" i="3"/>
  <c r="H693" i="3"/>
  <c r="G693" i="3"/>
  <c r="F693" i="3"/>
  <c r="D693" i="3"/>
  <c r="A693" i="3"/>
  <c r="H692" i="3"/>
  <c r="G692" i="3"/>
  <c r="F692" i="3"/>
  <c r="D692" i="3"/>
  <c r="A692" i="3"/>
  <c r="H691" i="3"/>
  <c r="G691" i="3"/>
  <c r="F691" i="3"/>
  <c r="D691" i="3"/>
  <c r="A691" i="3"/>
  <c r="H690" i="3"/>
  <c r="G690" i="3"/>
  <c r="F690" i="3"/>
  <c r="D690" i="3"/>
  <c r="A690" i="3"/>
  <c r="H689" i="3"/>
  <c r="G689" i="3"/>
  <c r="F689" i="3"/>
  <c r="D689" i="3"/>
  <c r="A689" i="3"/>
  <c r="J688" i="3"/>
  <c r="H688" i="3"/>
  <c r="G688" i="3"/>
  <c r="F688" i="3"/>
  <c r="D688" i="3"/>
  <c r="A688" i="3"/>
  <c r="H687" i="3"/>
  <c r="G687" i="3"/>
  <c r="F687" i="3"/>
  <c r="D687" i="3"/>
  <c r="A687" i="3"/>
  <c r="J686" i="3"/>
  <c r="H686" i="3"/>
  <c r="G686" i="3"/>
  <c r="F686" i="3"/>
  <c r="D686" i="3"/>
  <c r="A686" i="3"/>
  <c r="H685" i="3"/>
  <c r="G685" i="3"/>
  <c r="F685" i="3"/>
  <c r="D685" i="3"/>
  <c r="A685" i="3"/>
  <c r="H684" i="3"/>
  <c r="G684" i="3"/>
  <c r="F684" i="3"/>
  <c r="D684" i="3"/>
  <c r="A684" i="3"/>
  <c r="H683" i="3"/>
  <c r="G683" i="3"/>
  <c r="F683" i="3"/>
  <c r="D683" i="3"/>
  <c r="A683" i="3"/>
  <c r="H682" i="3"/>
  <c r="G682" i="3"/>
  <c r="F682" i="3"/>
  <c r="D682" i="3"/>
  <c r="A682" i="3"/>
  <c r="H681" i="3"/>
  <c r="G681" i="3"/>
  <c r="F681" i="3"/>
  <c r="D681" i="3"/>
  <c r="A681" i="3"/>
  <c r="H680" i="3"/>
  <c r="G680" i="3"/>
  <c r="F680" i="3"/>
  <c r="D680" i="3"/>
  <c r="A680" i="3"/>
  <c r="H679" i="3"/>
  <c r="G679" i="3"/>
  <c r="F679" i="3"/>
  <c r="D679" i="3"/>
  <c r="A679" i="3"/>
  <c r="H678" i="3"/>
  <c r="G678" i="3"/>
  <c r="F678" i="3"/>
  <c r="D678" i="3"/>
  <c r="A678" i="3"/>
  <c r="H677" i="3"/>
  <c r="G677" i="3"/>
  <c r="F677" i="3"/>
  <c r="D677" i="3"/>
  <c r="A677" i="3"/>
  <c r="J676" i="3"/>
  <c r="H676" i="3"/>
  <c r="G676" i="3"/>
  <c r="F676" i="3"/>
  <c r="D676" i="3"/>
  <c r="A676" i="3"/>
  <c r="H675" i="3"/>
  <c r="G675" i="3"/>
  <c r="F675" i="3"/>
  <c r="D675" i="3"/>
  <c r="A675" i="3"/>
  <c r="H674" i="3"/>
  <c r="G674" i="3"/>
  <c r="F674" i="3"/>
  <c r="D674" i="3"/>
  <c r="A674" i="3"/>
  <c r="H673" i="3"/>
  <c r="G673" i="3"/>
  <c r="F673" i="3"/>
  <c r="D673" i="3"/>
  <c r="A673" i="3"/>
  <c r="H672" i="3"/>
  <c r="G672" i="3"/>
  <c r="F672" i="3"/>
  <c r="D672" i="3"/>
  <c r="A672" i="3"/>
  <c r="J671" i="3"/>
  <c r="H671" i="3"/>
  <c r="G671" i="3"/>
  <c r="F671" i="3"/>
  <c r="D671" i="3"/>
  <c r="A671" i="3"/>
  <c r="J670" i="3"/>
  <c r="H670" i="3"/>
  <c r="G670" i="3"/>
  <c r="F670" i="3"/>
  <c r="D670" i="3"/>
  <c r="A670" i="3"/>
  <c r="J669" i="3"/>
  <c r="H669" i="3"/>
  <c r="G669" i="3"/>
  <c r="F669" i="3"/>
  <c r="D669" i="3"/>
  <c r="A669" i="3"/>
  <c r="J668" i="3"/>
  <c r="H668" i="3"/>
  <c r="G668" i="3"/>
  <c r="F668" i="3"/>
  <c r="D668" i="3"/>
  <c r="A668" i="3"/>
  <c r="J667" i="3"/>
  <c r="H667" i="3"/>
  <c r="G667" i="3"/>
  <c r="F667" i="3"/>
  <c r="D667" i="3"/>
  <c r="A667" i="3"/>
  <c r="H666" i="3"/>
  <c r="G666" i="3"/>
  <c r="F666" i="3"/>
  <c r="D666" i="3"/>
  <c r="A666" i="3"/>
  <c r="J665" i="3"/>
  <c r="H665" i="3"/>
  <c r="G665" i="3"/>
  <c r="F665" i="3"/>
  <c r="D665" i="3"/>
  <c r="A665" i="3"/>
  <c r="H664" i="3"/>
  <c r="G664" i="3"/>
  <c r="F664" i="3"/>
  <c r="D664" i="3"/>
  <c r="A664" i="3"/>
  <c r="J663" i="3"/>
  <c r="H663" i="3"/>
  <c r="G663" i="3"/>
  <c r="F663" i="3"/>
  <c r="D663" i="3"/>
  <c r="A663" i="3"/>
  <c r="H662" i="3"/>
  <c r="G662" i="3"/>
  <c r="F662" i="3"/>
  <c r="D662" i="3"/>
  <c r="A662" i="3"/>
  <c r="H661" i="3"/>
  <c r="G661" i="3"/>
  <c r="F661" i="3"/>
  <c r="D661" i="3"/>
  <c r="A661" i="3"/>
  <c r="J660" i="3"/>
  <c r="H660" i="3"/>
  <c r="G660" i="3"/>
  <c r="F660" i="3"/>
  <c r="D660" i="3"/>
  <c r="A660" i="3"/>
  <c r="H659" i="3"/>
  <c r="G659" i="3"/>
  <c r="F659" i="3"/>
  <c r="A659" i="3"/>
  <c r="J658" i="3"/>
  <c r="H658" i="3"/>
  <c r="G658" i="3"/>
  <c r="F658" i="3"/>
  <c r="D658" i="3"/>
  <c r="A658" i="3"/>
  <c r="H657" i="3"/>
  <c r="G657" i="3"/>
  <c r="F657" i="3"/>
  <c r="D657" i="3"/>
  <c r="A657" i="3"/>
  <c r="J656" i="3"/>
  <c r="H656" i="3"/>
  <c r="G656" i="3"/>
  <c r="F656" i="3"/>
  <c r="D656" i="3"/>
  <c r="A656" i="3"/>
  <c r="H655" i="3"/>
  <c r="G655" i="3"/>
  <c r="F655" i="3"/>
  <c r="D655" i="3"/>
  <c r="A655" i="3"/>
  <c r="J654" i="3"/>
  <c r="H654" i="3"/>
  <c r="G654" i="3"/>
  <c r="F654" i="3"/>
  <c r="D654" i="3"/>
  <c r="A654" i="3"/>
  <c r="J653" i="3"/>
  <c r="H653" i="3"/>
  <c r="G653" i="3"/>
  <c r="F653" i="3"/>
  <c r="D653" i="3"/>
  <c r="A653" i="3"/>
  <c r="J652" i="3"/>
  <c r="H652" i="3"/>
  <c r="G652" i="3"/>
  <c r="F652" i="3"/>
  <c r="D652" i="3"/>
  <c r="A652" i="3"/>
  <c r="H651" i="3"/>
  <c r="G651" i="3"/>
  <c r="F651" i="3"/>
  <c r="D651" i="3"/>
  <c r="A651" i="3"/>
  <c r="H650" i="3"/>
  <c r="G650" i="3"/>
  <c r="F650" i="3"/>
  <c r="D650" i="3"/>
  <c r="A650" i="3"/>
  <c r="J649" i="3"/>
  <c r="H649" i="3"/>
  <c r="G649" i="3"/>
  <c r="F649" i="3"/>
  <c r="D649" i="3"/>
  <c r="A649" i="3"/>
  <c r="H648" i="3"/>
  <c r="G648" i="3"/>
  <c r="F648" i="3"/>
  <c r="D648" i="3"/>
  <c r="A648" i="3"/>
  <c r="H647" i="3"/>
  <c r="G647" i="3"/>
  <c r="F647" i="3"/>
  <c r="D647" i="3"/>
  <c r="A647" i="3"/>
  <c r="J646" i="3"/>
  <c r="H646" i="3"/>
  <c r="G646" i="3"/>
  <c r="F646" i="3"/>
  <c r="D646" i="3"/>
  <c r="A646" i="3"/>
  <c r="H645" i="3"/>
  <c r="G645" i="3"/>
  <c r="F645" i="3"/>
  <c r="D645" i="3"/>
  <c r="A645" i="3"/>
  <c r="J644" i="3"/>
  <c r="H644" i="3"/>
  <c r="G644" i="3"/>
  <c r="F644" i="3"/>
  <c r="D644" i="3"/>
  <c r="A644" i="3"/>
  <c r="H643" i="3"/>
  <c r="G643" i="3"/>
  <c r="F643" i="3"/>
  <c r="D643" i="3"/>
  <c r="A643" i="3"/>
  <c r="H642" i="3"/>
  <c r="G642" i="3"/>
  <c r="F642" i="3"/>
  <c r="D642" i="3"/>
  <c r="A642" i="3"/>
  <c r="J641" i="3"/>
  <c r="H641" i="3"/>
  <c r="G641" i="3"/>
  <c r="F641" i="3"/>
  <c r="D641" i="3"/>
  <c r="A641" i="3"/>
  <c r="H640" i="3"/>
  <c r="G640" i="3"/>
  <c r="F640" i="3"/>
  <c r="D640" i="3"/>
  <c r="A640" i="3"/>
  <c r="J639" i="3"/>
  <c r="H639" i="3"/>
  <c r="G639" i="3"/>
  <c r="F639" i="3"/>
  <c r="D639" i="3"/>
  <c r="A639" i="3"/>
  <c r="J638" i="3"/>
  <c r="H638" i="3"/>
  <c r="G638" i="3"/>
  <c r="F638" i="3"/>
  <c r="D638" i="3"/>
  <c r="A638" i="3"/>
  <c r="H637" i="3"/>
  <c r="G637" i="3"/>
  <c r="F637" i="3"/>
  <c r="D637" i="3"/>
  <c r="A637" i="3"/>
  <c r="J636" i="3"/>
  <c r="H636" i="3"/>
  <c r="G636" i="3"/>
  <c r="F636" i="3"/>
  <c r="D636" i="3"/>
  <c r="A636" i="3"/>
  <c r="J635" i="3"/>
  <c r="H635" i="3"/>
  <c r="G635" i="3"/>
  <c r="F635" i="3"/>
  <c r="D635" i="3"/>
  <c r="A635" i="3"/>
  <c r="H634" i="3"/>
  <c r="G634" i="3"/>
  <c r="F634" i="3"/>
  <c r="D634" i="3"/>
  <c r="A634" i="3"/>
  <c r="J633" i="3"/>
  <c r="H633" i="3"/>
  <c r="G633" i="3"/>
  <c r="F633" i="3"/>
  <c r="D633" i="3"/>
  <c r="A633" i="3"/>
  <c r="J632" i="3"/>
  <c r="H632" i="3"/>
  <c r="G632" i="3"/>
  <c r="F632" i="3"/>
  <c r="D632" i="3"/>
  <c r="A632" i="3"/>
  <c r="J631" i="3"/>
  <c r="H631" i="3"/>
  <c r="G631" i="3"/>
  <c r="F631" i="3"/>
  <c r="D631" i="3"/>
  <c r="A631" i="3"/>
  <c r="H630" i="3"/>
  <c r="G630" i="3"/>
  <c r="F630" i="3"/>
  <c r="D630" i="3"/>
  <c r="A630" i="3"/>
  <c r="H629" i="3"/>
  <c r="D629" i="3"/>
  <c r="A629" i="3"/>
  <c r="H628" i="3"/>
  <c r="D628" i="3"/>
  <c r="A628" i="3"/>
  <c r="H627" i="3"/>
  <c r="D627" i="3"/>
  <c r="A627" i="3"/>
  <c r="H626" i="3"/>
  <c r="D626" i="3"/>
  <c r="A626" i="3"/>
  <c r="H625" i="3"/>
  <c r="D625" i="3"/>
  <c r="A625" i="3"/>
  <c r="H624" i="3"/>
  <c r="D624" i="3"/>
  <c r="A624" i="3"/>
  <c r="H623" i="3"/>
  <c r="D623" i="3"/>
  <c r="A623" i="3"/>
  <c r="H622" i="3"/>
  <c r="D622" i="3"/>
  <c r="A622" i="3"/>
  <c r="H621" i="3"/>
  <c r="D621" i="3"/>
  <c r="A621" i="3"/>
  <c r="H620" i="3"/>
  <c r="D620" i="3"/>
  <c r="A620" i="3"/>
  <c r="H619" i="3"/>
  <c r="D619" i="3"/>
  <c r="A619" i="3"/>
  <c r="H618" i="3"/>
  <c r="D618" i="3"/>
  <c r="A618" i="3"/>
  <c r="H617" i="3"/>
  <c r="D617" i="3"/>
  <c r="A617" i="3"/>
  <c r="H616" i="3"/>
  <c r="D616" i="3"/>
  <c r="A616" i="3"/>
  <c r="J589" i="3"/>
  <c r="H589" i="3"/>
  <c r="G589" i="3"/>
  <c r="F589" i="3"/>
  <c r="D589" i="3"/>
  <c r="A589" i="3"/>
  <c r="H615" i="3"/>
  <c r="D615" i="3"/>
  <c r="A615" i="3"/>
  <c r="H614" i="3"/>
  <c r="D614" i="3"/>
  <c r="A614" i="3"/>
  <c r="H613" i="3"/>
  <c r="D613" i="3"/>
  <c r="A613" i="3"/>
  <c r="H612" i="3"/>
  <c r="D612" i="3"/>
  <c r="A612" i="3"/>
  <c r="H611" i="3"/>
  <c r="D611" i="3"/>
  <c r="A611" i="3"/>
  <c r="H610" i="3"/>
  <c r="D610" i="3"/>
  <c r="A610" i="3"/>
  <c r="H609" i="3"/>
  <c r="D609" i="3"/>
  <c r="A609" i="3"/>
  <c r="H608" i="3"/>
  <c r="D608" i="3"/>
  <c r="A608" i="3"/>
  <c r="H607" i="3"/>
  <c r="D607" i="3"/>
  <c r="A607" i="3"/>
  <c r="H606" i="3"/>
  <c r="D606" i="3"/>
  <c r="A606" i="3"/>
  <c r="H605" i="3"/>
  <c r="D605" i="3"/>
  <c r="A605" i="3"/>
  <c r="H604" i="3"/>
  <c r="D604" i="3"/>
  <c r="A604" i="3"/>
  <c r="H603" i="3"/>
  <c r="D603" i="3"/>
  <c r="A603" i="3"/>
  <c r="H602" i="3"/>
  <c r="D602" i="3"/>
  <c r="A602" i="3"/>
  <c r="H601" i="3"/>
  <c r="D601" i="3"/>
  <c r="A601" i="3"/>
  <c r="H600" i="3"/>
  <c r="D600" i="3"/>
  <c r="A600" i="3"/>
  <c r="J588" i="3"/>
  <c r="H588" i="3"/>
  <c r="G588" i="3"/>
  <c r="F588" i="3"/>
  <c r="D588" i="3"/>
  <c r="A588" i="3"/>
  <c r="J587" i="3"/>
  <c r="H587" i="3"/>
  <c r="G587" i="3"/>
  <c r="F587" i="3"/>
  <c r="D587" i="3"/>
  <c r="A587" i="3"/>
  <c r="H586" i="3"/>
  <c r="G586" i="3"/>
  <c r="F586" i="3"/>
  <c r="D586" i="3"/>
  <c r="A586" i="3"/>
  <c r="J585" i="3"/>
  <c r="H585" i="3"/>
  <c r="G585" i="3"/>
  <c r="F585" i="3"/>
  <c r="D585" i="3"/>
  <c r="A585" i="3"/>
  <c r="H599" i="3"/>
  <c r="D599" i="3"/>
  <c r="A599" i="3"/>
  <c r="J584" i="3"/>
  <c r="H584" i="3"/>
  <c r="G584" i="3"/>
  <c r="F584" i="3"/>
  <c r="D584" i="3"/>
  <c r="A584" i="3"/>
  <c r="J583" i="3"/>
  <c r="H583" i="3"/>
  <c r="G583" i="3"/>
  <c r="F583" i="3"/>
  <c r="D583" i="3"/>
  <c r="A583" i="3"/>
  <c r="H598" i="3"/>
  <c r="D598" i="3"/>
  <c r="A598" i="3"/>
  <c r="J582" i="3"/>
  <c r="H582" i="3"/>
  <c r="G582" i="3"/>
  <c r="F582" i="3"/>
  <c r="D582" i="3"/>
  <c r="A582" i="3"/>
  <c r="H597" i="3"/>
  <c r="D597" i="3"/>
  <c r="A597" i="3"/>
  <c r="H596" i="3"/>
  <c r="D596" i="3"/>
  <c r="A596" i="3"/>
  <c r="H595" i="3"/>
  <c r="D595" i="3"/>
  <c r="A595" i="3"/>
  <c r="J581" i="3"/>
  <c r="H581" i="3"/>
  <c r="G581" i="3"/>
  <c r="F581" i="3"/>
  <c r="D581" i="3"/>
  <c r="A581" i="3"/>
  <c r="H594" i="3"/>
  <c r="D594" i="3"/>
  <c r="A594" i="3"/>
  <c r="J580" i="3"/>
  <c r="H580" i="3"/>
  <c r="G580" i="3"/>
  <c r="F580" i="3"/>
  <c r="D580" i="3"/>
  <c r="A580" i="3"/>
  <c r="H593" i="3"/>
  <c r="D593" i="3"/>
  <c r="A593" i="3"/>
  <c r="H592" i="3"/>
  <c r="D592" i="3"/>
  <c r="A592" i="3"/>
  <c r="H579" i="3"/>
  <c r="G579" i="3"/>
  <c r="F579" i="3"/>
  <c r="D579" i="3"/>
  <c r="A579" i="3"/>
  <c r="H591" i="3"/>
  <c r="D591" i="3"/>
  <c r="A591" i="3"/>
  <c r="H578" i="3"/>
  <c r="G578" i="3"/>
  <c r="F578" i="3"/>
  <c r="D578" i="3"/>
  <c r="A578" i="3"/>
  <c r="H590" i="3"/>
  <c r="D590" i="3"/>
  <c r="A590" i="3"/>
  <c r="J577" i="3"/>
  <c r="H577" i="3"/>
  <c r="G577" i="3"/>
  <c r="F577" i="3"/>
  <c r="D577" i="3"/>
  <c r="A577" i="3"/>
  <c r="J576" i="3"/>
  <c r="H576" i="3"/>
  <c r="G576" i="3"/>
  <c r="F576" i="3"/>
  <c r="D576" i="3"/>
  <c r="A576" i="3"/>
  <c r="J575" i="3"/>
  <c r="H575" i="3"/>
  <c r="G575" i="3"/>
  <c r="F575" i="3"/>
  <c r="D575" i="3"/>
  <c r="A575" i="3"/>
  <c r="J574" i="3"/>
  <c r="H574" i="3"/>
  <c r="G574" i="3"/>
  <c r="F574" i="3"/>
  <c r="D574" i="3"/>
  <c r="A574" i="3"/>
  <c r="J573" i="3"/>
  <c r="H573" i="3"/>
  <c r="G573" i="3"/>
  <c r="F573" i="3"/>
  <c r="D573" i="3"/>
  <c r="A573" i="3"/>
  <c r="J572" i="3"/>
  <c r="H572" i="3"/>
  <c r="G572" i="3"/>
  <c r="F572" i="3"/>
  <c r="D572" i="3"/>
  <c r="A572" i="3"/>
  <c r="J571" i="3"/>
  <c r="H571" i="3"/>
  <c r="G571" i="3"/>
  <c r="F571" i="3"/>
  <c r="D571" i="3"/>
  <c r="A571" i="3"/>
  <c r="J570" i="3"/>
  <c r="H570" i="3"/>
  <c r="G570" i="3"/>
  <c r="F570" i="3"/>
  <c r="D570" i="3"/>
  <c r="A570" i="3"/>
  <c r="J569" i="3"/>
  <c r="H569" i="3"/>
  <c r="G569" i="3"/>
  <c r="F569" i="3"/>
  <c r="D569" i="3"/>
  <c r="A569" i="3"/>
  <c r="J568" i="3"/>
  <c r="H568" i="3"/>
  <c r="G568" i="3"/>
  <c r="F568" i="3"/>
  <c r="D568" i="3"/>
  <c r="A568" i="3"/>
  <c r="J567" i="3"/>
  <c r="H567" i="3"/>
  <c r="G567" i="3"/>
  <c r="F567" i="3"/>
  <c r="D567" i="3"/>
  <c r="A567" i="3"/>
  <c r="H566" i="3"/>
  <c r="G566" i="3"/>
  <c r="F566" i="3"/>
  <c r="D566" i="3"/>
  <c r="A566" i="3"/>
  <c r="H565" i="3"/>
  <c r="G565" i="3"/>
  <c r="F565" i="3"/>
  <c r="D565" i="3"/>
  <c r="A565" i="3"/>
  <c r="J564" i="3"/>
  <c r="H564" i="3"/>
  <c r="G564" i="3"/>
  <c r="F564" i="3"/>
  <c r="D564" i="3"/>
  <c r="A564" i="3"/>
  <c r="H563" i="3"/>
  <c r="G563" i="3"/>
  <c r="F563" i="3"/>
  <c r="D563" i="3"/>
  <c r="A563" i="3"/>
  <c r="H562" i="3"/>
  <c r="G562" i="3"/>
  <c r="F562" i="3"/>
  <c r="D562" i="3"/>
  <c r="A562" i="3"/>
  <c r="J561" i="3"/>
  <c r="H561" i="3"/>
  <c r="G561" i="3"/>
  <c r="F561" i="3"/>
  <c r="D561" i="3"/>
  <c r="A561" i="3"/>
  <c r="H560" i="3"/>
  <c r="G560" i="3"/>
  <c r="F560" i="3"/>
  <c r="D560" i="3"/>
  <c r="A560" i="3"/>
  <c r="H559" i="3"/>
  <c r="G559" i="3"/>
  <c r="F559" i="3"/>
  <c r="D559" i="3"/>
  <c r="A559" i="3"/>
  <c r="J558" i="3"/>
  <c r="H558" i="3"/>
  <c r="G558" i="3"/>
  <c r="F558" i="3"/>
  <c r="D558" i="3"/>
  <c r="A558" i="3"/>
  <c r="H557" i="3"/>
  <c r="G557" i="3"/>
  <c r="F557" i="3"/>
  <c r="D557" i="3"/>
  <c r="A557" i="3"/>
  <c r="H556" i="3"/>
  <c r="G556" i="3"/>
  <c r="F556" i="3"/>
  <c r="D556" i="3"/>
  <c r="A556" i="3"/>
  <c r="H555" i="3"/>
  <c r="G555" i="3"/>
  <c r="F555" i="3"/>
  <c r="D555" i="3"/>
  <c r="A555" i="3"/>
  <c r="H554" i="3"/>
  <c r="G554" i="3"/>
  <c r="F554" i="3"/>
  <c r="D554" i="3"/>
  <c r="A554" i="3"/>
  <c r="H553" i="3"/>
  <c r="G553" i="3"/>
  <c r="F553" i="3"/>
  <c r="D553" i="3"/>
  <c r="A553" i="3"/>
  <c r="H552" i="3"/>
  <c r="G552" i="3"/>
  <c r="F552" i="3"/>
  <c r="D552" i="3"/>
  <c r="A552" i="3"/>
  <c r="H551" i="3"/>
  <c r="G551" i="3"/>
  <c r="F551" i="3"/>
  <c r="D551" i="3"/>
  <c r="A551" i="3"/>
  <c r="H550" i="3"/>
  <c r="G550" i="3"/>
  <c r="F550" i="3"/>
  <c r="D550" i="3"/>
  <c r="A550" i="3"/>
  <c r="J549" i="3"/>
  <c r="H549" i="3"/>
  <c r="G549" i="3"/>
  <c r="F549" i="3"/>
  <c r="D549" i="3"/>
  <c r="A549" i="3"/>
  <c r="H548" i="3"/>
  <c r="G548" i="3"/>
  <c r="F548" i="3"/>
  <c r="D548" i="3"/>
  <c r="A548" i="3"/>
  <c r="H547" i="3"/>
  <c r="G547" i="3"/>
  <c r="F547" i="3"/>
  <c r="D547" i="3"/>
  <c r="A547" i="3"/>
  <c r="H546" i="3"/>
  <c r="G546" i="3"/>
  <c r="F546" i="3"/>
  <c r="D546" i="3"/>
  <c r="A546" i="3"/>
  <c r="J545" i="3"/>
  <c r="H545" i="3"/>
  <c r="G545" i="3"/>
  <c r="F545" i="3"/>
  <c r="D545" i="3"/>
  <c r="A545" i="3"/>
  <c r="J544" i="3"/>
  <c r="H544" i="3"/>
  <c r="G544" i="3"/>
  <c r="F544" i="3"/>
  <c r="D544" i="3"/>
  <c r="A544" i="3"/>
  <c r="H543" i="3"/>
  <c r="G543" i="3"/>
  <c r="F543" i="3"/>
  <c r="D543" i="3"/>
  <c r="A543" i="3"/>
  <c r="H542" i="3"/>
  <c r="G542" i="3"/>
  <c r="F542" i="3"/>
  <c r="D542" i="3"/>
  <c r="A542" i="3"/>
  <c r="J541" i="3"/>
  <c r="H541" i="3"/>
  <c r="G541" i="3"/>
  <c r="F541" i="3"/>
  <c r="D541" i="3"/>
  <c r="A541" i="3"/>
  <c r="H540" i="3"/>
  <c r="G540" i="3"/>
  <c r="F540" i="3"/>
  <c r="D540" i="3"/>
  <c r="A540" i="3"/>
  <c r="J539" i="3"/>
  <c r="H539" i="3"/>
  <c r="G539" i="3"/>
  <c r="F539" i="3"/>
  <c r="D539" i="3"/>
  <c r="A539" i="3"/>
  <c r="J538" i="3"/>
  <c r="H538" i="3"/>
  <c r="G538" i="3"/>
  <c r="F538" i="3"/>
  <c r="D538" i="3"/>
  <c r="A538" i="3"/>
  <c r="H537" i="3"/>
  <c r="G537" i="3"/>
  <c r="F537" i="3"/>
  <c r="D537" i="3"/>
  <c r="A537" i="3"/>
  <c r="J536" i="3"/>
  <c r="H536" i="3"/>
  <c r="G536" i="3"/>
  <c r="F536" i="3"/>
  <c r="D536" i="3"/>
  <c r="A536" i="3"/>
  <c r="J535" i="3"/>
  <c r="H535" i="3"/>
  <c r="G535" i="3"/>
  <c r="F535" i="3"/>
  <c r="D535" i="3"/>
  <c r="A535" i="3"/>
  <c r="J534" i="3"/>
  <c r="H534" i="3"/>
  <c r="G534" i="3"/>
  <c r="F534" i="3"/>
  <c r="D534" i="3"/>
  <c r="A534" i="3"/>
  <c r="J533" i="3"/>
  <c r="H533" i="3"/>
  <c r="G533" i="3"/>
  <c r="F533" i="3"/>
  <c r="D533" i="3"/>
  <c r="A533" i="3"/>
  <c r="H532" i="3"/>
  <c r="G532" i="3"/>
  <c r="F532" i="3"/>
  <c r="D532" i="3"/>
  <c r="A532" i="3"/>
  <c r="H531" i="3"/>
  <c r="G531" i="3"/>
  <c r="F531" i="3"/>
  <c r="D531" i="3"/>
  <c r="A531" i="3"/>
  <c r="H530" i="3"/>
  <c r="G530" i="3"/>
  <c r="F530" i="3"/>
  <c r="D530" i="3"/>
  <c r="A530" i="3"/>
  <c r="J529" i="3"/>
  <c r="H529" i="3"/>
  <c r="G529" i="3"/>
  <c r="F529" i="3"/>
  <c r="D529" i="3"/>
  <c r="A529" i="3"/>
  <c r="J528" i="3"/>
  <c r="H528" i="3"/>
  <c r="G528" i="3"/>
  <c r="F528" i="3"/>
  <c r="D528" i="3"/>
  <c r="A528" i="3"/>
  <c r="J527" i="3"/>
  <c r="H527" i="3"/>
  <c r="G527" i="3"/>
  <c r="F527" i="3"/>
  <c r="D527" i="3"/>
  <c r="A527" i="3"/>
  <c r="H526" i="3"/>
  <c r="G526" i="3"/>
  <c r="F526" i="3"/>
  <c r="D526" i="3"/>
  <c r="A526" i="3"/>
  <c r="H525" i="3"/>
  <c r="G525" i="3"/>
  <c r="F525" i="3"/>
  <c r="D525" i="3"/>
  <c r="A525" i="3"/>
  <c r="H524" i="3"/>
  <c r="G524" i="3"/>
  <c r="F524" i="3"/>
  <c r="D524" i="3"/>
  <c r="A524" i="3"/>
  <c r="J523" i="3"/>
  <c r="H523" i="3"/>
  <c r="G523" i="3"/>
  <c r="F523" i="3"/>
  <c r="D523" i="3"/>
  <c r="A523" i="3"/>
  <c r="H522" i="3"/>
  <c r="G522" i="3"/>
  <c r="F522" i="3"/>
  <c r="D522" i="3"/>
  <c r="A522" i="3"/>
  <c r="H521" i="3"/>
  <c r="G521" i="3"/>
  <c r="F521" i="3"/>
  <c r="D521" i="3"/>
  <c r="A521" i="3"/>
  <c r="J520" i="3"/>
  <c r="H520" i="3"/>
  <c r="G520" i="3"/>
  <c r="F520" i="3"/>
  <c r="D520" i="3"/>
  <c r="A520" i="3"/>
  <c r="J519" i="3"/>
  <c r="H519" i="3"/>
  <c r="G519" i="3"/>
  <c r="F519" i="3"/>
  <c r="D519" i="3"/>
  <c r="A519" i="3"/>
  <c r="J518" i="3"/>
  <c r="H518" i="3"/>
  <c r="G518" i="3"/>
  <c r="F518" i="3"/>
  <c r="D518" i="3"/>
  <c r="A518" i="3"/>
  <c r="H517" i="3"/>
  <c r="G517" i="3"/>
  <c r="F517" i="3"/>
  <c r="D517" i="3"/>
  <c r="A517" i="3"/>
  <c r="J516" i="3"/>
  <c r="H516" i="3"/>
  <c r="G516" i="3"/>
  <c r="F516" i="3"/>
  <c r="D516" i="3"/>
  <c r="A516" i="3"/>
  <c r="J515" i="3"/>
  <c r="H515" i="3"/>
  <c r="G515" i="3"/>
  <c r="F515" i="3"/>
  <c r="D515" i="3"/>
  <c r="A515" i="3"/>
  <c r="H514" i="3"/>
  <c r="G514" i="3"/>
  <c r="F514" i="3"/>
  <c r="D514" i="3"/>
  <c r="A514" i="3"/>
  <c r="J513" i="3"/>
  <c r="H513" i="3"/>
  <c r="G513" i="3"/>
  <c r="F513" i="3"/>
  <c r="D513" i="3"/>
  <c r="A513" i="3"/>
  <c r="J512" i="3"/>
  <c r="H512" i="3"/>
  <c r="G512" i="3"/>
  <c r="F512" i="3"/>
  <c r="D512" i="3"/>
  <c r="A512" i="3"/>
  <c r="J511" i="3"/>
  <c r="H511" i="3"/>
  <c r="G511" i="3"/>
  <c r="F511" i="3"/>
  <c r="D511" i="3"/>
  <c r="A511" i="3"/>
  <c r="J510" i="3"/>
  <c r="H510" i="3"/>
  <c r="G510" i="3"/>
  <c r="F510" i="3"/>
  <c r="D510" i="3"/>
  <c r="A510" i="3"/>
  <c r="J509" i="3"/>
  <c r="H509" i="3"/>
  <c r="G509" i="3"/>
  <c r="F509" i="3"/>
  <c r="D509" i="3"/>
  <c r="A509" i="3"/>
  <c r="H508" i="3"/>
  <c r="G508" i="3"/>
  <c r="F508" i="3"/>
  <c r="D508" i="3"/>
  <c r="A508" i="3"/>
  <c r="J507" i="3"/>
  <c r="H507" i="3"/>
  <c r="G507" i="3"/>
  <c r="F507" i="3"/>
  <c r="D507" i="3"/>
  <c r="A507" i="3"/>
  <c r="H506" i="3"/>
  <c r="G506" i="3"/>
  <c r="F506" i="3"/>
  <c r="D506" i="3"/>
  <c r="A506" i="3"/>
  <c r="J505" i="3"/>
  <c r="H505" i="3"/>
  <c r="G505" i="3"/>
  <c r="F505" i="3"/>
  <c r="D505" i="3"/>
  <c r="A505" i="3"/>
  <c r="H504" i="3"/>
  <c r="G504" i="3"/>
  <c r="F504" i="3"/>
  <c r="D504" i="3"/>
  <c r="A504" i="3"/>
  <c r="J503" i="3"/>
  <c r="H503" i="3"/>
  <c r="G503" i="3"/>
  <c r="F503" i="3"/>
  <c r="D503" i="3"/>
  <c r="A503" i="3"/>
  <c r="H502" i="3"/>
  <c r="G502" i="3"/>
  <c r="F502" i="3"/>
  <c r="D502" i="3"/>
  <c r="A502" i="3"/>
  <c r="J501" i="3"/>
  <c r="H501" i="3"/>
  <c r="G501" i="3"/>
  <c r="F501" i="3"/>
  <c r="D501" i="3"/>
  <c r="A501" i="3"/>
  <c r="J500" i="3"/>
  <c r="H500" i="3"/>
  <c r="G500" i="3"/>
  <c r="F500" i="3"/>
  <c r="D500" i="3"/>
  <c r="A500" i="3"/>
  <c r="H499" i="3"/>
  <c r="G499" i="3"/>
  <c r="F499" i="3"/>
  <c r="D499" i="3"/>
  <c r="A499" i="3"/>
  <c r="J498" i="3"/>
  <c r="H498" i="3"/>
  <c r="G498" i="3"/>
  <c r="F498" i="3"/>
  <c r="D498" i="3"/>
  <c r="A498" i="3"/>
  <c r="J497" i="3"/>
  <c r="H497" i="3"/>
  <c r="G497" i="3"/>
  <c r="F497" i="3"/>
  <c r="D497" i="3"/>
  <c r="A497" i="3"/>
  <c r="J496" i="3"/>
  <c r="H496" i="3"/>
  <c r="G496" i="3"/>
  <c r="F496" i="3"/>
  <c r="D496" i="3"/>
  <c r="A496" i="3"/>
  <c r="J495" i="3"/>
  <c r="H495" i="3"/>
  <c r="G495" i="3"/>
  <c r="F495" i="3"/>
  <c r="D495" i="3"/>
  <c r="A495" i="3"/>
  <c r="H494" i="3"/>
  <c r="G494" i="3"/>
  <c r="F494" i="3"/>
  <c r="D494" i="3"/>
  <c r="A494" i="3"/>
  <c r="J493" i="3"/>
  <c r="H493" i="3"/>
  <c r="G493" i="3"/>
  <c r="F493" i="3"/>
  <c r="D493" i="3"/>
  <c r="A493" i="3"/>
  <c r="J492" i="3"/>
  <c r="H492" i="3"/>
  <c r="G492" i="3"/>
  <c r="F492" i="3"/>
  <c r="D492" i="3"/>
  <c r="A492" i="3"/>
  <c r="H491" i="3"/>
  <c r="G491" i="3"/>
  <c r="F491" i="3"/>
  <c r="D491" i="3"/>
  <c r="A491" i="3"/>
  <c r="H490" i="3"/>
  <c r="G490" i="3"/>
  <c r="F490" i="3"/>
  <c r="D490" i="3"/>
  <c r="A490" i="3"/>
  <c r="H489" i="3"/>
  <c r="G489" i="3"/>
  <c r="F489" i="3"/>
  <c r="D489" i="3"/>
  <c r="A489" i="3"/>
  <c r="H488" i="3"/>
  <c r="G488" i="3"/>
  <c r="F488" i="3"/>
  <c r="D488" i="3"/>
  <c r="A488" i="3"/>
  <c r="H487" i="3"/>
  <c r="G487" i="3"/>
  <c r="F487" i="3"/>
  <c r="D487" i="3"/>
  <c r="A487" i="3"/>
  <c r="H486" i="3"/>
  <c r="G486" i="3"/>
  <c r="F486" i="3"/>
  <c r="D486" i="3"/>
  <c r="A486" i="3"/>
  <c r="J485" i="3"/>
  <c r="H485" i="3"/>
  <c r="G485" i="3"/>
  <c r="F485" i="3"/>
  <c r="D485" i="3"/>
  <c r="A485" i="3"/>
  <c r="H484" i="3"/>
  <c r="G484" i="3"/>
  <c r="F484" i="3"/>
  <c r="D484" i="3"/>
  <c r="A484" i="3"/>
  <c r="H483" i="3"/>
  <c r="G483" i="3"/>
  <c r="F483" i="3"/>
  <c r="D483" i="3"/>
  <c r="A483" i="3"/>
  <c r="J482" i="3"/>
  <c r="H482" i="3"/>
  <c r="G482" i="3"/>
  <c r="F482" i="3"/>
  <c r="D482" i="3"/>
  <c r="A482" i="3"/>
  <c r="J481" i="3"/>
  <c r="H481" i="3"/>
  <c r="G481" i="3"/>
  <c r="F481" i="3"/>
  <c r="D481" i="3"/>
  <c r="A481" i="3"/>
  <c r="H480" i="3"/>
  <c r="G480" i="3"/>
  <c r="F480" i="3"/>
  <c r="D480" i="3"/>
  <c r="A480" i="3"/>
  <c r="J479" i="3"/>
  <c r="H479" i="3"/>
  <c r="G479" i="3"/>
  <c r="F479" i="3"/>
  <c r="D479" i="3"/>
  <c r="A479" i="3"/>
  <c r="J478" i="3"/>
  <c r="H478" i="3"/>
  <c r="G478" i="3"/>
  <c r="F478" i="3"/>
  <c r="D478" i="3"/>
  <c r="A478" i="3"/>
  <c r="J477" i="3"/>
  <c r="H477" i="3"/>
  <c r="G477" i="3"/>
  <c r="F477" i="3"/>
  <c r="D477" i="3"/>
  <c r="A477" i="3"/>
  <c r="H476" i="3"/>
  <c r="G476" i="3"/>
  <c r="F476" i="3"/>
  <c r="D476" i="3"/>
  <c r="A476" i="3"/>
  <c r="J475" i="3"/>
  <c r="H475" i="3"/>
  <c r="G475" i="3"/>
  <c r="F475" i="3"/>
  <c r="D475" i="3"/>
  <c r="A475" i="3"/>
  <c r="J474" i="3"/>
  <c r="H474" i="3"/>
  <c r="G474" i="3"/>
  <c r="F474" i="3"/>
  <c r="D474" i="3"/>
  <c r="A474" i="3"/>
  <c r="J473" i="3"/>
  <c r="H473" i="3"/>
  <c r="G473" i="3"/>
  <c r="F473" i="3"/>
  <c r="D473" i="3"/>
  <c r="A473" i="3"/>
  <c r="H472" i="3"/>
  <c r="G472" i="3"/>
  <c r="F472" i="3"/>
  <c r="D472" i="3"/>
  <c r="A472" i="3"/>
  <c r="J471" i="3"/>
  <c r="H471" i="3"/>
  <c r="G471" i="3"/>
  <c r="F471" i="3"/>
  <c r="D471" i="3"/>
  <c r="A471" i="3"/>
  <c r="J470" i="3"/>
  <c r="H470" i="3"/>
  <c r="G470" i="3"/>
  <c r="F470" i="3"/>
  <c r="D470" i="3"/>
  <c r="A470" i="3"/>
  <c r="J469" i="3"/>
  <c r="H469" i="3"/>
  <c r="G469" i="3"/>
  <c r="F469" i="3"/>
  <c r="D469" i="3"/>
  <c r="A469" i="3"/>
  <c r="J468" i="3"/>
  <c r="H468" i="3"/>
  <c r="G468" i="3"/>
  <c r="F468" i="3"/>
  <c r="D468" i="3"/>
  <c r="A468" i="3"/>
  <c r="J467" i="3"/>
  <c r="H467" i="3"/>
  <c r="G467" i="3"/>
  <c r="F467" i="3"/>
  <c r="D467" i="3"/>
  <c r="A467" i="3"/>
  <c r="H466" i="3"/>
  <c r="G466" i="3"/>
  <c r="F466" i="3"/>
  <c r="D466" i="3"/>
  <c r="A466" i="3"/>
  <c r="H465" i="3"/>
  <c r="G465" i="3"/>
  <c r="F465" i="3"/>
  <c r="D465" i="3"/>
  <c r="A465" i="3"/>
  <c r="H464" i="3"/>
  <c r="G464" i="3"/>
  <c r="F464" i="3"/>
  <c r="D464" i="3"/>
  <c r="A464" i="3"/>
  <c r="J463" i="3"/>
  <c r="H463" i="3"/>
  <c r="G463" i="3"/>
  <c r="F463" i="3"/>
  <c r="D463" i="3"/>
  <c r="A463" i="3"/>
  <c r="J462" i="3"/>
  <c r="H462" i="3"/>
  <c r="G462" i="3"/>
  <c r="F462" i="3"/>
  <c r="D462" i="3"/>
  <c r="A462" i="3"/>
  <c r="J461" i="3"/>
  <c r="H461" i="3"/>
  <c r="G461" i="3"/>
  <c r="F461" i="3"/>
  <c r="D461" i="3"/>
  <c r="A461" i="3"/>
  <c r="J460" i="3"/>
  <c r="H460" i="3"/>
  <c r="G460" i="3"/>
  <c r="F460" i="3"/>
  <c r="D460" i="3"/>
  <c r="A460" i="3"/>
  <c r="H459" i="3"/>
  <c r="G459" i="3"/>
  <c r="F459" i="3"/>
  <c r="D459" i="3"/>
  <c r="A459" i="3"/>
  <c r="H458" i="3"/>
  <c r="G458" i="3"/>
  <c r="F458" i="3"/>
  <c r="D458" i="3"/>
  <c r="A458" i="3"/>
  <c r="H457" i="3"/>
  <c r="G457" i="3"/>
  <c r="F457" i="3"/>
  <c r="D457" i="3"/>
  <c r="A457" i="3"/>
  <c r="J456" i="3"/>
  <c r="H456" i="3"/>
  <c r="G456" i="3"/>
  <c r="F456" i="3"/>
  <c r="D456" i="3"/>
  <c r="A456" i="3"/>
  <c r="H455" i="3"/>
  <c r="G455" i="3"/>
  <c r="F455" i="3"/>
  <c r="D455" i="3"/>
  <c r="A455" i="3"/>
  <c r="H454" i="3"/>
  <c r="G454" i="3"/>
  <c r="F454" i="3"/>
  <c r="D454" i="3"/>
  <c r="A454" i="3"/>
  <c r="J453" i="3"/>
  <c r="H453" i="3"/>
  <c r="G453" i="3"/>
  <c r="F453" i="3"/>
  <c r="D453" i="3"/>
  <c r="A453" i="3"/>
  <c r="J452" i="3"/>
  <c r="H452" i="3"/>
  <c r="G452" i="3"/>
  <c r="F452" i="3"/>
  <c r="D452" i="3"/>
  <c r="A452" i="3"/>
  <c r="H451" i="3"/>
  <c r="G451" i="3"/>
  <c r="F451" i="3"/>
  <c r="D451" i="3"/>
  <c r="A451" i="3"/>
  <c r="H450" i="3"/>
  <c r="G450" i="3"/>
  <c r="F450" i="3"/>
  <c r="D450" i="3"/>
  <c r="A450" i="3"/>
  <c r="J449" i="3"/>
  <c r="H449" i="3"/>
  <c r="G449" i="3"/>
  <c r="F449" i="3"/>
  <c r="D449" i="3"/>
  <c r="A449" i="3"/>
  <c r="J448" i="3"/>
  <c r="H448" i="3"/>
  <c r="G448" i="3"/>
  <c r="F448" i="3"/>
  <c r="D448" i="3"/>
  <c r="A448" i="3"/>
  <c r="J447" i="3"/>
  <c r="H447" i="3"/>
  <c r="G447" i="3"/>
  <c r="F447" i="3"/>
  <c r="D447" i="3"/>
  <c r="A447" i="3"/>
  <c r="H446" i="3"/>
  <c r="G446" i="3"/>
  <c r="F446" i="3"/>
  <c r="D446" i="3"/>
  <c r="A446" i="3"/>
  <c r="J445" i="3"/>
  <c r="H445" i="3"/>
  <c r="G445" i="3"/>
  <c r="F445" i="3"/>
  <c r="D445" i="3"/>
  <c r="A445" i="3"/>
  <c r="J444" i="3"/>
  <c r="H444" i="3"/>
  <c r="G444" i="3"/>
  <c r="F444" i="3"/>
  <c r="D444" i="3"/>
  <c r="A444" i="3"/>
  <c r="J443" i="3"/>
  <c r="H443" i="3"/>
  <c r="G443" i="3"/>
  <c r="F443" i="3"/>
  <c r="D443" i="3"/>
  <c r="A443" i="3"/>
  <c r="J442" i="3"/>
  <c r="H442" i="3"/>
  <c r="G442" i="3"/>
  <c r="F442" i="3"/>
  <c r="D442" i="3"/>
  <c r="A442" i="3"/>
  <c r="J441" i="3"/>
  <c r="H441" i="3"/>
  <c r="G441" i="3"/>
  <c r="F441" i="3"/>
  <c r="D441" i="3"/>
  <c r="A441" i="3"/>
  <c r="J440" i="3"/>
  <c r="H440" i="3"/>
  <c r="G440" i="3"/>
  <c r="F440" i="3"/>
  <c r="D440" i="3"/>
  <c r="A440" i="3"/>
  <c r="J439" i="3"/>
  <c r="H439" i="3"/>
  <c r="G439" i="3"/>
  <c r="F439" i="3"/>
  <c r="D439" i="3"/>
  <c r="A439" i="3"/>
  <c r="H438" i="3"/>
  <c r="G438" i="3"/>
  <c r="F438" i="3"/>
  <c r="D438" i="3"/>
  <c r="A438" i="3"/>
  <c r="J437" i="3"/>
  <c r="H437" i="3"/>
  <c r="G437" i="3"/>
  <c r="F437" i="3"/>
  <c r="D437" i="3"/>
  <c r="A437" i="3"/>
  <c r="J436" i="3"/>
  <c r="H436" i="3"/>
  <c r="G436" i="3"/>
  <c r="F436" i="3"/>
  <c r="D436" i="3"/>
  <c r="A436" i="3"/>
  <c r="J435" i="3"/>
  <c r="H435" i="3"/>
  <c r="G435" i="3"/>
  <c r="F435" i="3"/>
  <c r="D435" i="3"/>
  <c r="A435" i="3"/>
  <c r="J434" i="3"/>
  <c r="H434" i="3"/>
  <c r="G434" i="3"/>
  <c r="F434" i="3"/>
  <c r="D434" i="3"/>
  <c r="A434" i="3"/>
  <c r="J433" i="3"/>
  <c r="H433" i="3"/>
  <c r="G433" i="3"/>
  <c r="F433" i="3"/>
  <c r="D433" i="3"/>
  <c r="A433" i="3"/>
  <c r="J432" i="3"/>
  <c r="H432" i="3"/>
  <c r="G432" i="3"/>
  <c r="F432" i="3"/>
  <c r="D432" i="3"/>
  <c r="A432" i="3"/>
  <c r="J431" i="3"/>
  <c r="H431" i="3"/>
  <c r="G431" i="3"/>
  <c r="F431" i="3"/>
  <c r="D431" i="3"/>
  <c r="A431" i="3"/>
  <c r="H430" i="3"/>
  <c r="G430" i="3"/>
  <c r="F430" i="3"/>
  <c r="D430" i="3"/>
  <c r="A430" i="3"/>
  <c r="H429" i="3"/>
  <c r="G429" i="3"/>
  <c r="F429" i="3"/>
  <c r="D429" i="3"/>
  <c r="A429" i="3"/>
  <c r="J428" i="3"/>
  <c r="H428" i="3"/>
  <c r="G428" i="3"/>
  <c r="F428" i="3"/>
  <c r="D428" i="3"/>
  <c r="A428" i="3"/>
  <c r="J427" i="3"/>
  <c r="H427" i="3"/>
  <c r="G427" i="3"/>
  <c r="F427" i="3"/>
  <c r="D427" i="3"/>
  <c r="A427" i="3"/>
  <c r="J426" i="3"/>
  <c r="H426" i="3"/>
  <c r="G426" i="3"/>
  <c r="F426" i="3"/>
  <c r="D426" i="3"/>
  <c r="A426" i="3"/>
  <c r="J425" i="3"/>
  <c r="H425" i="3"/>
  <c r="G425" i="3"/>
  <c r="F425" i="3"/>
  <c r="D425" i="3"/>
  <c r="A425" i="3"/>
  <c r="J424" i="3"/>
  <c r="H424" i="3"/>
  <c r="G424" i="3"/>
  <c r="F424" i="3"/>
  <c r="D424" i="3"/>
  <c r="A424" i="3"/>
  <c r="J423" i="3"/>
  <c r="H423" i="3"/>
  <c r="G423" i="3"/>
  <c r="F423" i="3"/>
  <c r="D423" i="3"/>
  <c r="A423" i="3"/>
  <c r="J422" i="3"/>
  <c r="H422" i="3"/>
  <c r="G422" i="3"/>
  <c r="F422" i="3"/>
  <c r="D422" i="3"/>
  <c r="A422" i="3"/>
  <c r="J421" i="3"/>
  <c r="H421" i="3"/>
  <c r="G421" i="3"/>
  <c r="F421" i="3"/>
  <c r="D421" i="3"/>
  <c r="A421" i="3"/>
  <c r="J420" i="3"/>
  <c r="H420" i="3"/>
  <c r="G420" i="3"/>
  <c r="F420" i="3"/>
  <c r="D420" i="3"/>
  <c r="A420" i="3"/>
  <c r="J419" i="3"/>
  <c r="H419" i="3"/>
  <c r="G419" i="3"/>
  <c r="F419" i="3"/>
  <c r="D419" i="3"/>
  <c r="A419" i="3"/>
  <c r="J418" i="3"/>
  <c r="H418" i="3"/>
  <c r="G418" i="3"/>
  <c r="F418" i="3"/>
  <c r="D418" i="3"/>
  <c r="A418" i="3"/>
  <c r="H417" i="3"/>
  <c r="G417" i="3"/>
  <c r="F417" i="3"/>
  <c r="D417" i="3"/>
  <c r="A417" i="3"/>
  <c r="J416" i="3"/>
  <c r="H416" i="3"/>
  <c r="G416" i="3"/>
  <c r="F416" i="3"/>
  <c r="D416" i="3"/>
  <c r="A416" i="3"/>
  <c r="J415" i="3"/>
  <c r="H415" i="3"/>
  <c r="G415" i="3"/>
  <c r="F415" i="3"/>
  <c r="D415" i="3"/>
  <c r="A415" i="3"/>
  <c r="J414" i="3"/>
  <c r="H414" i="3"/>
  <c r="G414" i="3"/>
  <c r="F414" i="3"/>
  <c r="D414" i="3"/>
  <c r="A414" i="3"/>
  <c r="J413" i="3"/>
  <c r="H413" i="3"/>
  <c r="G413" i="3"/>
  <c r="F413" i="3"/>
  <c r="D413" i="3"/>
  <c r="A413" i="3"/>
  <c r="H412" i="3"/>
  <c r="G412" i="3"/>
  <c r="F412" i="3"/>
  <c r="D412" i="3"/>
  <c r="A412" i="3"/>
  <c r="H411" i="3"/>
  <c r="G411" i="3"/>
  <c r="F411" i="3"/>
  <c r="D411" i="3"/>
  <c r="A411" i="3"/>
  <c r="J410" i="3"/>
  <c r="H410" i="3"/>
  <c r="G410" i="3"/>
  <c r="F410" i="3"/>
  <c r="D410" i="3"/>
  <c r="A410" i="3"/>
  <c r="H409" i="3"/>
  <c r="G409" i="3"/>
  <c r="F409" i="3"/>
  <c r="D409" i="3"/>
  <c r="A409" i="3"/>
  <c r="J408" i="3"/>
  <c r="H408" i="3"/>
  <c r="G408" i="3"/>
  <c r="F408" i="3"/>
  <c r="D408" i="3"/>
  <c r="A408" i="3"/>
  <c r="H407" i="3"/>
  <c r="G407" i="3"/>
  <c r="F407" i="3"/>
  <c r="D407" i="3"/>
  <c r="A407" i="3"/>
  <c r="H406" i="3"/>
  <c r="G406" i="3"/>
  <c r="F406" i="3"/>
  <c r="D406" i="3"/>
  <c r="A406" i="3"/>
  <c r="J405" i="3"/>
  <c r="H405" i="3"/>
  <c r="G405" i="3"/>
  <c r="F405" i="3"/>
  <c r="D405" i="3"/>
  <c r="A405" i="3"/>
  <c r="H404" i="3"/>
  <c r="G404" i="3"/>
  <c r="F404" i="3"/>
  <c r="D404" i="3"/>
  <c r="A404" i="3"/>
  <c r="J403" i="3"/>
  <c r="H403" i="3"/>
  <c r="G403" i="3"/>
  <c r="F403" i="3"/>
  <c r="D403" i="3"/>
  <c r="A403" i="3"/>
  <c r="J402" i="3"/>
  <c r="H402" i="3"/>
  <c r="G402" i="3"/>
  <c r="F402" i="3"/>
  <c r="D402" i="3"/>
  <c r="A402" i="3"/>
  <c r="J401" i="3"/>
  <c r="H401" i="3"/>
  <c r="G401" i="3"/>
  <c r="F401" i="3"/>
  <c r="D401" i="3"/>
  <c r="A401" i="3"/>
  <c r="J400" i="3"/>
  <c r="H400" i="3"/>
  <c r="G400" i="3"/>
  <c r="F400" i="3"/>
  <c r="D400" i="3"/>
  <c r="A400" i="3"/>
  <c r="J399" i="3"/>
  <c r="H399" i="3"/>
  <c r="G399" i="3"/>
  <c r="F399" i="3"/>
  <c r="D399" i="3"/>
  <c r="A399" i="3"/>
  <c r="H398" i="3"/>
  <c r="G398" i="3"/>
  <c r="F398" i="3"/>
  <c r="D398" i="3"/>
  <c r="A398" i="3"/>
  <c r="H397" i="3"/>
  <c r="G397" i="3"/>
  <c r="F397" i="3"/>
  <c r="D397" i="3"/>
  <c r="A397" i="3"/>
  <c r="J396" i="3"/>
  <c r="H396" i="3"/>
  <c r="G396" i="3"/>
  <c r="F396" i="3"/>
  <c r="D396" i="3"/>
  <c r="A396" i="3"/>
  <c r="J395" i="3"/>
  <c r="H395" i="3"/>
  <c r="G395" i="3"/>
  <c r="F395" i="3"/>
  <c r="D395" i="3"/>
  <c r="A395" i="3"/>
  <c r="J394" i="3"/>
  <c r="H394" i="3"/>
  <c r="G394" i="3"/>
  <c r="F394" i="3"/>
  <c r="D394" i="3"/>
  <c r="A394" i="3"/>
  <c r="J393" i="3"/>
  <c r="H393" i="3"/>
  <c r="G393" i="3"/>
  <c r="F393" i="3"/>
  <c r="D393" i="3"/>
  <c r="A393" i="3"/>
  <c r="J392" i="3"/>
  <c r="H392" i="3"/>
  <c r="G392" i="3"/>
  <c r="F392" i="3"/>
  <c r="D392" i="3"/>
  <c r="A392" i="3"/>
  <c r="J391" i="3"/>
  <c r="H391" i="3"/>
  <c r="G391" i="3"/>
  <c r="F391" i="3"/>
  <c r="D391" i="3"/>
  <c r="A391" i="3"/>
  <c r="J390" i="3"/>
  <c r="H390" i="3"/>
  <c r="G390" i="3"/>
  <c r="F390" i="3"/>
  <c r="D390" i="3"/>
  <c r="A390" i="3"/>
  <c r="J389" i="3"/>
  <c r="H389" i="3"/>
  <c r="G389" i="3"/>
  <c r="F389" i="3"/>
  <c r="D389" i="3"/>
  <c r="A389" i="3"/>
  <c r="J388" i="3"/>
  <c r="H388" i="3"/>
  <c r="G388" i="3"/>
  <c r="F388" i="3"/>
  <c r="D388" i="3"/>
  <c r="A388" i="3"/>
  <c r="J387" i="3"/>
  <c r="H387" i="3"/>
  <c r="G387" i="3"/>
  <c r="F387" i="3"/>
  <c r="D387" i="3"/>
  <c r="A387" i="3"/>
  <c r="H386" i="3"/>
  <c r="G386" i="3"/>
  <c r="F386" i="3"/>
  <c r="D386" i="3"/>
  <c r="A386" i="3"/>
  <c r="J385" i="3"/>
  <c r="H385" i="3"/>
  <c r="G385" i="3"/>
  <c r="F385" i="3"/>
  <c r="D385" i="3"/>
  <c r="A385" i="3"/>
  <c r="J384" i="3"/>
  <c r="H384" i="3"/>
  <c r="G384" i="3"/>
  <c r="F384" i="3"/>
  <c r="D384" i="3"/>
  <c r="A384" i="3"/>
  <c r="J383" i="3"/>
  <c r="H383" i="3"/>
  <c r="G383" i="3"/>
  <c r="F383" i="3"/>
  <c r="D383" i="3"/>
  <c r="A383" i="3"/>
  <c r="J382" i="3"/>
  <c r="H382" i="3"/>
  <c r="G382" i="3"/>
  <c r="F382" i="3"/>
  <c r="D382" i="3"/>
  <c r="A382" i="3"/>
  <c r="J381" i="3"/>
  <c r="H381" i="3"/>
  <c r="G381" i="3"/>
  <c r="F381" i="3"/>
  <c r="D381" i="3"/>
  <c r="A381" i="3"/>
  <c r="J380" i="3"/>
  <c r="H380" i="3"/>
  <c r="G380" i="3"/>
  <c r="F380" i="3"/>
  <c r="D380" i="3"/>
  <c r="A380" i="3"/>
  <c r="J379" i="3"/>
  <c r="H379" i="3"/>
  <c r="G379" i="3"/>
  <c r="F379" i="3"/>
  <c r="D379" i="3"/>
  <c r="A379" i="3"/>
  <c r="J378" i="3"/>
  <c r="H378" i="3"/>
  <c r="G378" i="3"/>
  <c r="F378" i="3"/>
  <c r="D378" i="3"/>
  <c r="A378" i="3"/>
  <c r="J377" i="3"/>
  <c r="H377" i="3"/>
  <c r="G377" i="3"/>
  <c r="F377" i="3"/>
  <c r="D377" i="3"/>
  <c r="A377" i="3"/>
  <c r="J376" i="3"/>
  <c r="H376" i="3"/>
  <c r="G376" i="3"/>
  <c r="F376" i="3"/>
  <c r="D376" i="3"/>
  <c r="A376" i="3"/>
  <c r="J375" i="3"/>
  <c r="H375" i="3"/>
  <c r="G375" i="3"/>
  <c r="F375" i="3"/>
  <c r="D375" i="3"/>
  <c r="A375" i="3"/>
  <c r="J374" i="3"/>
  <c r="H374" i="3"/>
  <c r="G374" i="3"/>
  <c r="F374" i="3"/>
  <c r="D374" i="3"/>
  <c r="A374" i="3"/>
  <c r="J373" i="3"/>
  <c r="H373" i="3"/>
  <c r="G373" i="3"/>
  <c r="F373" i="3"/>
  <c r="D373" i="3"/>
  <c r="A373" i="3"/>
  <c r="J372" i="3"/>
  <c r="H372" i="3"/>
  <c r="G372" i="3"/>
  <c r="F372" i="3"/>
  <c r="D372" i="3"/>
  <c r="A372" i="3"/>
  <c r="J371" i="3"/>
  <c r="H371" i="3"/>
  <c r="G371" i="3"/>
  <c r="F371" i="3"/>
  <c r="D371" i="3"/>
  <c r="A371" i="3"/>
  <c r="J370" i="3"/>
  <c r="H370" i="3"/>
  <c r="G370" i="3"/>
  <c r="F370" i="3"/>
  <c r="D370" i="3"/>
  <c r="A370" i="3"/>
  <c r="J369" i="3"/>
  <c r="H369" i="3"/>
  <c r="G369" i="3"/>
  <c r="F369" i="3"/>
  <c r="D369" i="3"/>
  <c r="A369" i="3"/>
  <c r="J368" i="3"/>
  <c r="H368" i="3"/>
  <c r="G368" i="3"/>
  <c r="F368" i="3"/>
  <c r="D368" i="3"/>
  <c r="A368" i="3"/>
  <c r="J367" i="3"/>
  <c r="H367" i="3"/>
  <c r="G367" i="3"/>
  <c r="F367" i="3"/>
  <c r="D367" i="3"/>
  <c r="A367" i="3"/>
  <c r="J366" i="3"/>
  <c r="H366" i="3"/>
  <c r="G366" i="3"/>
  <c r="F366" i="3"/>
  <c r="D366" i="3"/>
  <c r="A366" i="3"/>
  <c r="J365" i="3"/>
  <c r="H365" i="3"/>
  <c r="G365" i="3"/>
  <c r="F365" i="3"/>
  <c r="D365" i="3"/>
  <c r="A365" i="3"/>
  <c r="J364" i="3"/>
  <c r="H364" i="3"/>
  <c r="G364" i="3"/>
  <c r="F364" i="3"/>
  <c r="D364" i="3"/>
  <c r="A364" i="3"/>
  <c r="J363" i="3"/>
  <c r="H363" i="3"/>
  <c r="G363" i="3"/>
  <c r="F363" i="3"/>
  <c r="D363" i="3"/>
  <c r="A363" i="3"/>
  <c r="J362" i="3"/>
  <c r="H362" i="3"/>
  <c r="G362" i="3"/>
  <c r="F362" i="3"/>
  <c r="D362" i="3"/>
  <c r="A362" i="3"/>
  <c r="J361" i="3"/>
  <c r="H361" i="3"/>
  <c r="G361" i="3"/>
  <c r="F361" i="3"/>
  <c r="D361" i="3"/>
  <c r="A361" i="3"/>
  <c r="J360" i="3"/>
  <c r="H360" i="3"/>
  <c r="G360" i="3"/>
  <c r="F360" i="3"/>
  <c r="D360" i="3"/>
  <c r="A360" i="3"/>
  <c r="J359" i="3"/>
  <c r="H359" i="3"/>
  <c r="G359" i="3"/>
  <c r="F359" i="3"/>
  <c r="D359" i="3"/>
  <c r="A359" i="3"/>
  <c r="J358" i="3"/>
  <c r="H358" i="3"/>
  <c r="G358" i="3"/>
  <c r="F358" i="3"/>
  <c r="D358" i="3"/>
  <c r="A358" i="3"/>
  <c r="J357" i="3"/>
  <c r="H357" i="3"/>
  <c r="G357" i="3"/>
  <c r="F357" i="3"/>
  <c r="D357" i="3"/>
  <c r="A357" i="3"/>
  <c r="J356" i="3"/>
  <c r="H356" i="3"/>
  <c r="G356" i="3"/>
  <c r="F356" i="3"/>
  <c r="D356" i="3"/>
  <c r="A356" i="3"/>
  <c r="J355" i="3"/>
  <c r="H355" i="3"/>
  <c r="G355" i="3"/>
  <c r="F355" i="3"/>
  <c r="D355" i="3"/>
  <c r="A355" i="3"/>
  <c r="H354" i="3"/>
  <c r="G354" i="3"/>
  <c r="F354" i="3"/>
  <c r="D354" i="3"/>
  <c r="A354" i="3"/>
  <c r="J353" i="3"/>
  <c r="H353" i="3"/>
  <c r="G353" i="3"/>
  <c r="F353" i="3"/>
  <c r="D353" i="3"/>
  <c r="A353" i="3"/>
  <c r="H352" i="3"/>
  <c r="G352" i="3"/>
  <c r="F352" i="3"/>
  <c r="D352" i="3"/>
  <c r="A352" i="3"/>
  <c r="J351" i="3"/>
  <c r="H351" i="3"/>
  <c r="G351" i="3"/>
  <c r="F351" i="3"/>
  <c r="D351" i="3"/>
  <c r="A351" i="3"/>
  <c r="J350" i="3"/>
  <c r="H350" i="3"/>
  <c r="G350" i="3"/>
  <c r="F350" i="3"/>
  <c r="D350" i="3"/>
  <c r="A350" i="3"/>
  <c r="J349" i="3"/>
  <c r="H349" i="3"/>
  <c r="G349" i="3"/>
  <c r="F349" i="3"/>
  <c r="D349" i="3"/>
  <c r="A349" i="3"/>
  <c r="J348" i="3"/>
  <c r="H348" i="3"/>
  <c r="G348" i="3"/>
  <c r="F348" i="3"/>
  <c r="D348" i="3"/>
  <c r="A348" i="3"/>
  <c r="J347" i="3"/>
  <c r="H347" i="3"/>
  <c r="G347" i="3"/>
  <c r="F347" i="3"/>
  <c r="D347" i="3"/>
  <c r="A347" i="3"/>
  <c r="J346" i="3"/>
  <c r="H346" i="3"/>
  <c r="G346" i="3"/>
  <c r="F346" i="3"/>
  <c r="D346" i="3"/>
  <c r="A346" i="3"/>
  <c r="J345" i="3"/>
  <c r="H345" i="3"/>
  <c r="G345" i="3"/>
  <c r="F345" i="3"/>
  <c r="D345" i="3"/>
  <c r="A345" i="3"/>
  <c r="J344" i="3"/>
  <c r="H344" i="3"/>
  <c r="G344" i="3"/>
  <c r="F344" i="3"/>
  <c r="D344" i="3"/>
  <c r="A344" i="3"/>
  <c r="J343" i="3"/>
  <c r="H343" i="3"/>
  <c r="G343" i="3"/>
  <c r="F343" i="3"/>
  <c r="D343" i="3"/>
  <c r="A343" i="3"/>
  <c r="J342" i="3"/>
  <c r="H342" i="3"/>
  <c r="G342" i="3"/>
  <c r="F342" i="3"/>
  <c r="D342" i="3"/>
  <c r="A342" i="3"/>
  <c r="J341" i="3"/>
  <c r="H341" i="3"/>
  <c r="G341" i="3"/>
  <c r="F341" i="3"/>
  <c r="D341" i="3"/>
  <c r="A341" i="3"/>
  <c r="H340" i="3"/>
  <c r="G340" i="3"/>
  <c r="F340" i="3"/>
  <c r="D340" i="3"/>
  <c r="A340" i="3"/>
  <c r="J339" i="3"/>
  <c r="H339" i="3"/>
  <c r="G339" i="3"/>
  <c r="F339" i="3"/>
  <c r="D339" i="3"/>
  <c r="A339" i="3"/>
  <c r="J338" i="3"/>
  <c r="H338" i="3"/>
  <c r="G338" i="3"/>
  <c r="F338" i="3"/>
  <c r="D338" i="3"/>
  <c r="A338" i="3"/>
  <c r="J337" i="3"/>
  <c r="H337" i="3"/>
  <c r="G337" i="3"/>
  <c r="F337" i="3"/>
  <c r="D337" i="3"/>
  <c r="A337" i="3"/>
  <c r="H336" i="3"/>
  <c r="G336" i="3"/>
  <c r="F336" i="3"/>
  <c r="D336" i="3"/>
  <c r="A336" i="3"/>
  <c r="H335" i="3"/>
  <c r="G335" i="3"/>
  <c r="F335" i="3"/>
  <c r="D335" i="3"/>
  <c r="A335" i="3"/>
  <c r="H334" i="3"/>
  <c r="G334" i="3"/>
  <c r="F334" i="3"/>
  <c r="D334" i="3"/>
  <c r="A334" i="3"/>
  <c r="J333" i="3"/>
  <c r="H333" i="3"/>
  <c r="G333" i="3"/>
  <c r="F333" i="3"/>
  <c r="D333" i="3"/>
  <c r="A333" i="3"/>
  <c r="H332" i="3"/>
  <c r="G332" i="3"/>
  <c r="F332" i="3"/>
  <c r="D332" i="3"/>
  <c r="A332" i="3"/>
  <c r="J331" i="3"/>
  <c r="H331" i="3"/>
  <c r="G331" i="3"/>
  <c r="F331" i="3"/>
  <c r="D331" i="3"/>
  <c r="A331" i="3"/>
  <c r="J330" i="3"/>
  <c r="H330" i="3"/>
  <c r="G330" i="3"/>
  <c r="F330" i="3"/>
  <c r="D330" i="3"/>
  <c r="A330" i="3"/>
  <c r="J329" i="3"/>
  <c r="H329" i="3"/>
  <c r="G329" i="3"/>
  <c r="F329" i="3"/>
  <c r="D329" i="3"/>
  <c r="A329" i="3"/>
  <c r="J328" i="3"/>
  <c r="H328" i="3"/>
  <c r="G328" i="3"/>
  <c r="F328" i="3"/>
  <c r="D328" i="3"/>
  <c r="A328" i="3"/>
  <c r="H327" i="3"/>
  <c r="G327" i="3"/>
  <c r="F327" i="3"/>
  <c r="D327" i="3"/>
  <c r="A327" i="3"/>
  <c r="J326" i="3"/>
  <c r="H326" i="3"/>
  <c r="G326" i="3"/>
  <c r="F326" i="3"/>
  <c r="D326" i="3"/>
  <c r="A326" i="3"/>
  <c r="H325" i="3"/>
  <c r="G325" i="3"/>
  <c r="F325" i="3"/>
  <c r="D325" i="3"/>
  <c r="A325" i="3"/>
  <c r="J324" i="3"/>
  <c r="H324" i="3"/>
  <c r="G324" i="3"/>
  <c r="F324" i="3"/>
  <c r="D324" i="3"/>
  <c r="A324" i="3"/>
  <c r="J323" i="3"/>
  <c r="H323" i="3"/>
  <c r="G323" i="3"/>
  <c r="F323" i="3"/>
  <c r="D323" i="3"/>
  <c r="A323" i="3"/>
  <c r="H322" i="3"/>
  <c r="G322" i="3"/>
  <c r="F322" i="3"/>
  <c r="D322" i="3"/>
  <c r="A322" i="3"/>
  <c r="H321" i="3"/>
  <c r="G321" i="3"/>
  <c r="F321" i="3"/>
  <c r="D321" i="3"/>
  <c r="A321" i="3"/>
  <c r="H320" i="3"/>
  <c r="G320" i="3"/>
  <c r="F320" i="3"/>
  <c r="D320" i="3"/>
  <c r="A320" i="3"/>
  <c r="J319" i="3"/>
  <c r="H319" i="3"/>
  <c r="G319" i="3"/>
  <c r="F319" i="3"/>
  <c r="D319" i="3"/>
  <c r="A319" i="3"/>
  <c r="J318" i="3"/>
  <c r="H318" i="3"/>
  <c r="G318" i="3"/>
  <c r="F318" i="3"/>
  <c r="D318" i="3"/>
  <c r="A318" i="3"/>
  <c r="J317" i="3"/>
  <c r="H317" i="3"/>
  <c r="G317" i="3"/>
  <c r="F317" i="3"/>
  <c r="D317" i="3"/>
  <c r="A317" i="3"/>
  <c r="J316" i="3"/>
  <c r="H316" i="3"/>
  <c r="G316" i="3"/>
  <c r="F316" i="3"/>
  <c r="D316" i="3"/>
  <c r="A316" i="3"/>
  <c r="J315" i="3"/>
  <c r="H315" i="3"/>
  <c r="G315" i="3"/>
  <c r="F315" i="3"/>
  <c r="D315" i="3"/>
  <c r="A315" i="3"/>
  <c r="J314" i="3"/>
  <c r="H314" i="3"/>
  <c r="G314" i="3"/>
  <c r="F314" i="3"/>
  <c r="D314" i="3"/>
  <c r="A314" i="3"/>
  <c r="J313" i="3"/>
  <c r="H313" i="3"/>
  <c r="G313" i="3"/>
  <c r="F313" i="3"/>
  <c r="D313" i="3"/>
  <c r="A313" i="3"/>
  <c r="J312" i="3"/>
  <c r="H312" i="3"/>
  <c r="G312" i="3"/>
  <c r="F312" i="3"/>
  <c r="D312" i="3"/>
  <c r="A312" i="3"/>
  <c r="H311" i="3"/>
  <c r="G311" i="3"/>
  <c r="F311" i="3"/>
  <c r="D311" i="3"/>
  <c r="A311" i="3"/>
  <c r="J310" i="3"/>
  <c r="H310" i="3"/>
  <c r="G310" i="3"/>
  <c r="F310" i="3"/>
  <c r="D310" i="3"/>
  <c r="A310" i="3"/>
  <c r="J309" i="3"/>
  <c r="H309" i="3"/>
  <c r="G309" i="3"/>
  <c r="F309" i="3"/>
  <c r="D309" i="3"/>
  <c r="A309" i="3"/>
  <c r="J308" i="3"/>
  <c r="H308" i="3"/>
  <c r="G308" i="3"/>
  <c r="F308" i="3"/>
  <c r="D308" i="3"/>
  <c r="A308" i="3"/>
  <c r="J307" i="3"/>
  <c r="H307" i="3"/>
  <c r="G307" i="3"/>
  <c r="F307" i="3"/>
  <c r="D307" i="3"/>
  <c r="A307" i="3"/>
  <c r="J306" i="3"/>
  <c r="H306" i="3"/>
  <c r="G306" i="3"/>
  <c r="F306" i="3"/>
  <c r="D306" i="3"/>
  <c r="A306" i="3"/>
  <c r="J305" i="3"/>
  <c r="H305" i="3"/>
  <c r="G305" i="3"/>
  <c r="F305" i="3"/>
  <c r="D305" i="3"/>
  <c r="A305" i="3"/>
  <c r="J304" i="3"/>
  <c r="H304" i="3"/>
  <c r="G304" i="3"/>
  <c r="F304" i="3"/>
  <c r="D304" i="3"/>
  <c r="A304" i="3"/>
  <c r="J303" i="3"/>
  <c r="H303" i="3"/>
  <c r="G303" i="3"/>
  <c r="F303" i="3"/>
  <c r="D303" i="3"/>
  <c r="A303" i="3"/>
  <c r="J302" i="3"/>
  <c r="H302" i="3"/>
  <c r="G302" i="3"/>
  <c r="F302" i="3"/>
  <c r="D302" i="3"/>
  <c r="A302" i="3"/>
  <c r="H301" i="3"/>
  <c r="G301" i="3"/>
  <c r="F301" i="3"/>
  <c r="D301" i="3"/>
  <c r="A301" i="3"/>
  <c r="H300" i="3"/>
  <c r="G300" i="3"/>
  <c r="F300" i="3"/>
  <c r="D300" i="3"/>
  <c r="A300" i="3"/>
  <c r="J299" i="3"/>
  <c r="H299" i="3"/>
  <c r="G299" i="3"/>
  <c r="F299" i="3"/>
  <c r="D299" i="3"/>
  <c r="A299" i="3"/>
  <c r="J298" i="3"/>
  <c r="H298" i="3"/>
  <c r="G298" i="3"/>
  <c r="F298" i="3"/>
  <c r="D298" i="3"/>
  <c r="A298" i="3"/>
  <c r="J297" i="3"/>
  <c r="H297" i="3"/>
  <c r="G297" i="3"/>
  <c r="F297" i="3"/>
  <c r="D297" i="3"/>
  <c r="A297" i="3"/>
  <c r="J296" i="3"/>
  <c r="H296" i="3"/>
  <c r="G296" i="3"/>
  <c r="F296" i="3"/>
  <c r="D296" i="3"/>
  <c r="A296" i="3"/>
  <c r="J295" i="3"/>
  <c r="H295" i="3"/>
  <c r="G295" i="3"/>
  <c r="F295" i="3"/>
  <c r="D295" i="3"/>
  <c r="A295" i="3"/>
  <c r="J294" i="3"/>
  <c r="H294" i="3"/>
  <c r="G294" i="3"/>
  <c r="F294" i="3"/>
  <c r="D294" i="3"/>
  <c r="A294" i="3"/>
  <c r="J293" i="3"/>
  <c r="H293" i="3"/>
  <c r="G293" i="3"/>
  <c r="F293" i="3"/>
  <c r="D293" i="3"/>
  <c r="A293" i="3"/>
  <c r="J292" i="3"/>
  <c r="H292" i="3"/>
  <c r="G292" i="3"/>
  <c r="F292" i="3"/>
  <c r="D292" i="3"/>
  <c r="A292" i="3"/>
  <c r="H291" i="3"/>
  <c r="G291" i="3"/>
  <c r="F291" i="3"/>
  <c r="D291" i="3"/>
  <c r="A291" i="3"/>
  <c r="H290" i="3"/>
  <c r="G290" i="3"/>
  <c r="F290" i="3"/>
  <c r="D290" i="3"/>
  <c r="A290" i="3"/>
  <c r="J289" i="3"/>
  <c r="H289" i="3"/>
  <c r="G289" i="3"/>
  <c r="F289" i="3"/>
  <c r="D289" i="3"/>
  <c r="A289" i="3"/>
  <c r="J288" i="3"/>
  <c r="H288" i="3"/>
  <c r="G288" i="3"/>
  <c r="F288" i="3"/>
  <c r="D288" i="3"/>
  <c r="A288" i="3"/>
  <c r="J287" i="3"/>
  <c r="H287" i="3"/>
  <c r="G287" i="3"/>
  <c r="F287" i="3"/>
  <c r="D287" i="3"/>
  <c r="A287" i="3"/>
  <c r="J286" i="3"/>
  <c r="H286" i="3"/>
  <c r="G286" i="3"/>
  <c r="F286" i="3"/>
  <c r="D286" i="3"/>
  <c r="A286" i="3"/>
  <c r="J285" i="3"/>
  <c r="H285" i="3"/>
  <c r="G285" i="3"/>
  <c r="F285" i="3"/>
  <c r="D285" i="3"/>
  <c r="A285" i="3"/>
  <c r="J284" i="3"/>
  <c r="H284" i="3"/>
  <c r="G284" i="3"/>
  <c r="F284" i="3"/>
  <c r="D284" i="3"/>
  <c r="A284" i="3"/>
  <c r="H283" i="3"/>
  <c r="G283" i="3"/>
  <c r="F283" i="3"/>
  <c r="D283" i="3"/>
  <c r="A283" i="3"/>
  <c r="J282" i="3"/>
  <c r="H282" i="3"/>
  <c r="G282" i="3"/>
  <c r="F282" i="3"/>
  <c r="D282" i="3"/>
  <c r="A282" i="3"/>
  <c r="H281" i="3"/>
  <c r="G281" i="3"/>
  <c r="F281" i="3"/>
  <c r="D281" i="3"/>
  <c r="A281" i="3"/>
  <c r="H280" i="3"/>
  <c r="G280" i="3"/>
  <c r="F280" i="3"/>
  <c r="D280" i="3"/>
  <c r="A280" i="3"/>
  <c r="H279" i="3"/>
  <c r="G279" i="3"/>
  <c r="F279" i="3"/>
  <c r="D279" i="3"/>
  <c r="A279" i="3"/>
  <c r="J278" i="3"/>
  <c r="H278" i="3"/>
  <c r="G278" i="3"/>
  <c r="F278" i="3"/>
  <c r="D278" i="3"/>
  <c r="A278" i="3"/>
  <c r="H277" i="3"/>
  <c r="G277" i="3"/>
  <c r="F277" i="3"/>
  <c r="D277" i="3"/>
  <c r="A277" i="3"/>
  <c r="J276" i="3"/>
  <c r="H276" i="3"/>
  <c r="G276" i="3"/>
  <c r="F276" i="3"/>
  <c r="D276" i="3"/>
  <c r="A276" i="3"/>
  <c r="J275" i="3"/>
  <c r="H275" i="3"/>
  <c r="G275" i="3"/>
  <c r="F275" i="3"/>
  <c r="D275" i="3"/>
  <c r="A275" i="3"/>
  <c r="J274" i="3"/>
  <c r="H274" i="3"/>
  <c r="G274" i="3"/>
  <c r="F274" i="3"/>
  <c r="D274" i="3"/>
  <c r="A274" i="3"/>
  <c r="J273" i="3"/>
  <c r="H273" i="3"/>
  <c r="G273" i="3"/>
  <c r="F273" i="3"/>
  <c r="D273" i="3"/>
  <c r="A273" i="3"/>
  <c r="H272" i="3"/>
  <c r="G272" i="3"/>
  <c r="F272" i="3"/>
  <c r="D272" i="3"/>
  <c r="A272" i="3"/>
  <c r="J271" i="3"/>
  <c r="H271" i="3"/>
  <c r="G271" i="3"/>
  <c r="F271" i="3"/>
  <c r="D271" i="3"/>
  <c r="A271" i="3"/>
  <c r="H270" i="3"/>
  <c r="G270" i="3"/>
  <c r="F270" i="3"/>
  <c r="D270" i="3"/>
  <c r="A270" i="3"/>
  <c r="J269" i="3"/>
  <c r="H269" i="3"/>
  <c r="G269" i="3"/>
  <c r="F269" i="3"/>
  <c r="D269" i="3"/>
  <c r="A269" i="3"/>
  <c r="H268" i="3"/>
  <c r="G268" i="3"/>
  <c r="F268" i="3"/>
  <c r="D268" i="3"/>
  <c r="A268" i="3"/>
  <c r="H267" i="3"/>
  <c r="G267" i="3"/>
  <c r="F267" i="3"/>
  <c r="D267" i="3"/>
  <c r="A267" i="3"/>
  <c r="J266" i="3"/>
  <c r="H266" i="3"/>
  <c r="G266" i="3"/>
  <c r="F266" i="3"/>
  <c r="D266" i="3"/>
  <c r="A266" i="3"/>
  <c r="H265" i="3"/>
  <c r="G265" i="3"/>
  <c r="F265" i="3"/>
  <c r="D265" i="3"/>
  <c r="A265" i="3"/>
  <c r="H264" i="3"/>
  <c r="G264" i="3"/>
  <c r="F264" i="3"/>
  <c r="D264" i="3"/>
  <c r="A264" i="3"/>
  <c r="J263" i="3"/>
  <c r="H263" i="3"/>
  <c r="G263" i="3"/>
  <c r="F263" i="3"/>
  <c r="D263" i="3"/>
  <c r="A263" i="3"/>
  <c r="J262" i="3"/>
  <c r="H262" i="3"/>
  <c r="G262" i="3"/>
  <c r="F262" i="3"/>
  <c r="D262" i="3"/>
  <c r="A262" i="3"/>
  <c r="H261" i="3"/>
  <c r="G261" i="3"/>
  <c r="F261" i="3"/>
  <c r="D261" i="3"/>
  <c r="A261" i="3"/>
  <c r="J260" i="3"/>
  <c r="H260" i="3"/>
  <c r="G260" i="3"/>
  <c r="F260" i="3"/>
  <c r="D260" i="3"/>
  <c r="A260" i="3"/>
  <c r="J259" i="3"/>
  <c r="H259" i="3"/>
  <c r="G259" i="3"/>
  <c r="F259" i="3"/>
  <c r="D259" i="3"/>
  <c r="A259" i="3"/>
  <c r="J258" i="3"/>
  <c r="H258" i="3"/>
  <c r="G258" i="3"/>
  <c r="F258" i="3"/>
  <c r="D258" i="3"/>
  <c r="A258" i="3"/>
  <c r="H257" i="3"/>
  <c r="G257" i="3"/>
  <c r="F257" i="3"/>
  <c r="D257" i="3"/>
  <c r="A257" i="3"/>
  <c r="H256" i="3"/>
  <c r="G256" i="3"/>
  <c r="F256" i="3"/>
  <c r="D256" i="3"/>
  <c r="A256" i="3"/>
  <c r="H255" i="3"/>
  <c r="G255" i="3"/>
  <c r="F255" i="3"/>
  <c r="D255" i="3"/>
  <c r="A255" i="3"/>
  <c r="H254" i="3"/>
  <c r="G254" i="3"/>
  <c r="F254" i="3"/>
  <c r="D254" i="3"/>
  <c r="A254" i="3"/>
  <c r="J253" i="3"/>
  <c r="H253" i="3"/>
  <c r="G253" i="3"/>
  <c r="F253" i="3"/>
  <c r="D253" i="3"/>
  <c r="A253" i="3"/>
  <c r="J252" i="3"/>
  <c r="H252" i="3"/>
  <c r="G252" i="3"/>
  <c r="F252" i="3"/>
  <c r="D252" i="3"/>
  <c r="A252" i="3"/>
  <c r="H251" i="3"/>
  <c r="G251" i="3"/>
  <c r="F251" i="3"/>
  <c r="D251" i="3"/>
  <c r="A251" i="3"/>
  <c r="J250" i="3"/>
  <c r="H250" i="3"/>
  <c r="G250" i="3"/>
  <c r="F250" i="3"/>
  <c r="D250" i="3"/>
  <c r="A250" i="3"/>
  <c r="J249" i="3"/>
  <c r="H249" i="3"/>
  <c r="G249" i="3"/>
  <c r="F249" i="3"/>
  <c r="D249" i="3"/>
  <c r="A249" i="3"/>
  <c r="J248" i="3"/>
  <c r="H248" i="3"/>
  <c r="G248" i="3"/>
  <c r="F248" i="3"/>
  <c r="D248" i="3"/>
  <c r="A248" i="3"/>
  <c r="H247" i="3"/>
  <c r="G247" i="3"/>
  <c r="F247" i="3"/>
  <c r="D247" i="3"/>
  <c r="A247" i="3"/>
  <c r="H246" i="3"/>
  <c r="G246" i="3"/>
  <c r="F246" i="3"/>
  <c r="D246" i="3"/>
  <c r="A246" i="3"/>
  <c r="H245" i="3"/>
  <c r="G245" i="3"/>
  <c r="F245" i="3"/>
  <c r="D245" i="3"/>
  <c r="A245" i="3"/>
  <c r="H244" i="3"/>
  <c r="G244" i="3"/>
  <c r="F244" i="3"/>
  <c r="D244" i="3"/>
  <c r="A244" i="3"/>
  <c r="H243" i="3"/>
  <c r="G243" i="3"/>
  <c r="F243" i="3"/>
  <c r="D243" i="3"/>
  <c r="A243" i="3"/>
  <c r="J242" i="3"/>
  <c r="H242" i="3"/>
  <c r="G242" i="3"/>
  <c r="F242" i="3"/>
  <c r="D242" i="3"/>
  <c r="A242" i="3"/>
  <c r="H241" i="3"/>
  <c r="G241" i="3"/>
  <c r="F241" i="3"/>
  <c r="D241" i="3"/>
  <c r="A241" i="3"/>
  <c r="H240" i="3"/>
  <c r="G240" i="3"/>
  <c r="F240" i="3"/>
  <c r="D240" i="3"/>
  <c r="A240" i="3"/>
  <c r="H239" i="3"/>
  <c r="G239" i="3"/>
  <c r="F239" i="3"/>
  <c r="D239" i="3"/>
  <c r="A239" i="3"/>
  <c r="H238" i="3"/>
  <c r="G238" i="3"/>
  <c r="F238" i="3"/>
  <c r="D238" i="3"/>
  <c r="A238" i="3"/>
  <c r="J237" i="3"/>
  <c r="H237" i="3"/>
  <c r="G237" i="3"/>
  <c r="F237" i="3"/>
  <c r="D237" i="3"/>
  <c r="A237" i="3"/>
  <c r="H236" i="3"/>
  <c r="G236" i="3"/>
  <c r="F236" i="3"/>
  <c r="D236" i="3"/>
  <c r="A236" i="3"/>
  <c r="J235" i="3"/>
  <c r="H235" i="3"/>
  <c r="G235" i="3"/>
  <c r="F235" i="3"/>
  <c r="D235" i="3"/>
  <c r="A235" i="3"/>
  <c r="J234" i="3"/>
  <c r="H234" i="3"/>
  <c r="G234" i="3"/>
  <c r="F234" i="3"/>
  <c r="D234" i="3"/>
  <c r="A234" i="3"/>
  <c r="J233" i="3"/>
  <c r="H233" i="3"/>
  <c r="G233" i="3"/>
  <c r="F233" i="3"/>
  <c r="D233" i="3"/>
  <c r="A233" i="3"/>
  <c r="H232" i="3"/>
  <c r="G232" i="3"/>
  <c r="F232" i="3"/>
  <c r="D232" i="3"/>
  <c r="A232" i="3"/>
  <c r="H231" i="3"/>
  <c r="G231" i="3"/>
  <c r="F231" i="3"/>
  <c r="D231" i="3"/>
  <c r="A231" i="3"/>
  <c r="H230" i="3"/>
  <c r="G230" i="3"/>
  <c r="F230" i="3"/>
  <c r="D230" i="3"/>
  <c r="A230" i="3"/>
  <c r="H229" i="3"/>
  <c r="G229" i="3"/>
  <c r="F229" i="3"/>
  <c r="D229" i="3"/>
  <c r="A229" i="3"/>
  <c r="H228" i="3"/>
  <c r="G228" i="3"/>
  <c r="F228" i="3"/>
  <c r="D228" i="3"/>
  <c r="A228" i="3"/>
  <c r="H227" i="3"/>
  <c r="G227" i="3"/>
  <c r="F227" i="3"/>
  <c r="D227" i="3"/>
  <c r="A227" i="3"/>
  <c r="J226" i="3"/>
  <c r="H226" i="3"/>
  <c r="G226" i="3"/>
  <c r="F226" i="3"/>
  <c r="D226" i="3"/>
  <c r="A226" i="3"/>
  <c r="H225" i="3"/>
  <c r="G225" i="3"/>
  <c r="F225" i="3"/>
  <c r="D225" i="3"/>
  <c r="A225" i="3"/>
  <c r="J224" i="3"/>
  <c r="H224" i="3"/>
  <c r="G224" i="3"/>
  <c r="F224" i="3"/>
  <c r="D224" i="3"/>
  <c r="A224" i="3"/>
  <c r="J223" i="3"/>
  <c r="H223" i="3"/>
  <c r="G223" i="3"/>
  <c r="F223" i="3"/>
  <c r="D223" i="3"/>
  <c r="A223" i="3"/>
  <c r="J222" i="3"/>
  <c r="H222" i="3"/>
  <c r="G222" i="3"/>
  <c r="F222" i="3"/>
  <c r="D222" i="3"/>
  <c r="A222" i="3"/>
  <c r="H221" i="3"/>
  <c r="G221" i="3"/>
  <c r="F221" i="3"/>
  <c r="D221" i="3"/>
  <c r="A221" i="3"/>
  <c r="H220" i="3"/>
  <c r="G220" i="3"/>
  <c r="F220" i="3"/>
  <c r="D220" i="3"/>
  <c r="A220" i="3"/>
  <c r="H219" i="3"/>
  <c r="G219" i="3"/>
  <c r="F219" i="3"/>
  <c r="D219" i="3"/>
  <c r="A219" i="3"/>
  <c r="H218" i="3"/>
  <c r="G218" i="3"/>
  <c r="F218" i="3"/>
  <c r="D218" i="3"/>
  <c r="A218" i="3"/>
  <c r="H217" i="3"/>
  <c r="G217" i="3"/>
  <c r="F217" i="3"/>
  <c r="D217" i="3"/>
  <c r="A217" i="3"/>
  <c r="H216" i="3"/>
  <c r="G216" i="3"/>
  <c r="F216" i="3"/>
  <c r="D216" i="3"/>
  <c r="A216" i="3"/>
  <c r="J215" i="3"/>
  <c r="H215" i="3"/>
  <c r="G215" i="3"/>
  <c r="F215" i="3"/>
  <c r="D215" i="3"/>
  <c r="A215" i="3"/>
  <c r="H214" i="3"/>
  <c r="G214" i="3"/>
  <c r="F214" i="3"/>
  <c r="D214" i="3"/>
  <c r="A214" i="3"/>
  <c r="H213" i="3"/>
  <c r="G213" i="3"/>
  <c r="F213" i="3"/>
  <c r="D213" i="3"/>
  <c r="A213" i="3"/>
  <c r="J212" i="3"/>
  <c r="H212" i="3"/>
  <c r="G212" i="3"/>
  <c r="F212" i="3"/>
  <c r="D212" i="3"/>
  <c r="A212" i="3"/>
  <c r="J211" i="3"/>
  <c r="H211" i="3"/>
  <c r="G211" i="3"/>
  <c r="F211" i="3"/>
  <c r="D211" i="3"/>
  <c r="A211" i="3"/>
  <c r="J210" i="3"/>
  <c r="H210" i="3"/>
  <c r="G210" i="3"/>
  <c r="F210" i="3"/>
  <c r="D210" i="3"/>
  <c r="A210" i="3"/>
  <c r="J209" i="3"/>
  <c r="H209" i="3"/>
  <c r="G209" i="3"/>
  <c r="F209" i="3"/>
  <c r="D209" i="3"/>
  <c r="A209" i="3"/>
  <c r="H208" i="3"/>
  <c r="G208" i="3"/>
  <c r="F208" i="3"/>
  <c r="D208" i="3"/>
  <c r="A208" i="3"/>
  <c r="H207" i="3"/>
  <c r="G207" i="3"/>
  <c r="F207" i="3"/>
  <c r="D207" i="3"/>
  <c r="A207" i="3"/>
  <c r="H206" i="3"/>
  <c r="G206" i="3"/>
  <c r="F206" i="3"/>
  <c r="D206" i="3"/>
  <c r="A206" i="3"/>
  <c r="J205" i="3"/>
  <c r="H205" i="3"/>
  <c r="G205" i="3"/>
  <c r="F205" i="3"/>
  <c r="D205" i="3"/>
  <c r="A205" i="3"/>
  <c r="J204" i="3"/>
  <c r="H204" i="3"/>
  <c r="G204" i="3"/>
  <c r="F204" i="3"/>
  <c r="D204" i="3"/>
  <c r="A204" i="3"/>
  <c r="H203" i="3"/>
  <c r="G203" i="3"/>
  <c r="F203" i="3"/>
  <c r="D203" i="3"/>
  <c r="A203" i="3"/>
  <c r="J202" i="3"/>
  <c r="H202" i="3"/>
  <c r="G202" i="3"/>
  <c r="F202" i="3"/>
  <c r="D202" i="3"/>
  <c r="A202" i="3"/>
  <c r="J201" i="3"/>
  <c r="H201" i="3"/>
  <c r="G201" i="3"/>
  <c r="F201" i="3"/>
  <c r="D201" i="3"/>
  <c r="A201" i="3"/>
  <c r="H200" i="3"/>
  <c r="G200" i="3"/>
  <c r="F200" i="3"/>
  <c r="D200" i="3"/>
  <c r="A200" i="3"/>
  <c r="H199" i="3"/>
  <c r="G199" i="3"/>
  <c r="F199" i="3"/>
  <c r="D199" i="3"/>
  <c r="A199" i="3"/>
  <c r="J198" i="3"/>
  <c r="H198" i="3"/>
  <c r="G198" i="3"/>
  <c r="F198" i="3"/>
  <c r="D198" i="3"/>
  <c r="A198" i="3"/>
  <c r="H197" i="3"/>
  <c r="G197" i="3"/>
  <c r="F197" i="3"/>
  <c r="D197" i="3"/>
  <c r="A197" i="3"/>
  <c r="H196" i="3"/>
  <c r="G196" i="3"/>
  <c r="F196" i="3"/>
  <c r="D196" i="3"/>
  <c r="A196" i="3"/>
  <c r="J195" i="3"/>
  <c r="H195" i="3"/>
  <c r="G195" i="3"/>
  <c r="F195" i="3"/>
  <c r="D195" i="3"/>
  <c r="A195" i="3"/>
  <c r="J194" i="3"/>
  <c r="H194" i="3"/>
  <c r="G194" i="3"/>
  <c r="F194" i="3"/>
  <c r="D194" i="3"/>
  <c r="A194" i="3"/>
  <c r="J193" i="3"/>
  <c r="H193" i="3"/>
  <c r="G193" i="3"/>
  <c r="F193" i="3"/>
  <c r="D193" i="3"/>
  <c r="A193" i="3"/>
  <c r="J192" i="3"/>
  <c r="H192" i="3"/>
  <c r="G192" i="3"/>
  <c r="F192" i="3"/>
  <c r="D192" i="3"/>
  <c r="A192" i="3"/>
  <c r="H191" i="3"/>
  <c r="G191" i="3"/>
  <c r="F191" i="3"/>
  <c r="D191" i="3"/>
  <c r="A191" i="3"/>
  <c r="J190" i="3"/>
  <c r="H190" i="3"/>
  <c r="G190" i="3"/>
  <c r="F190" i="3"/>
  <c r="D190" i="3"/>
  <c r="A190" i="3"/>
  <c r="H189" i="3"/>
  <c r="G189" i="3"/>
  <c r="F189" i="3"/>
  <c r="D189" i="3"/>
  <c r="A189" i="3"/>
  <c r="J188" i="3"/>
  <c r="H188" i="3"/>
  <c r="G188" i="3"/>
  <c r="F188" i="3"/>
  <c r="A188" i="3"/>
  <c r="J187" i="3"/>
  <c r="H187" i="3"/>
  <c r="G187" i="3"/>
  <c r="F187" i="3"/>
  <c r="D187" i="3"/>
  <c r="A187" i="3"/>
  <c r="J186" i="3"/>
  <c r="H186" i="3"/>
  <c r="G186" i="3"/>
  <c r="F186" i="3"/>
  <c r="D186" i="3"/>
  <c r="A186" i="3"/>
  <c r="J185" i="3"/>
  <c r="H185" i="3"/>
  <c r="G185" i="3"/>
  <c r="F185" i="3"/>
  <c r="D185" i="3"/>
  <c r="A185" i="3"/>
  <c r="J184" i="3"/>
  <c r="H184" i="3"/>
  <c r="G184" i="3"/>
  <c r="F184" i="3"/>
  <c r="A184" i="3"/>
  <c r="J183" i="3"/>
  <c r="H183" i="3"/>
  <c r="G183" i="3"/>
  <c r="F183" i="3"/>
  <c r="D183" i="3"/>
  <c r="A183" i="3"/>
  <c r="H182" i="3"/>
  <c r="G182" i="3"/>
  <c r="F182" i="3"/>
  <c r="D182" i="3"/>
  <c r="A182" i="3"/>
  <c r="J181" i="3"/>
  <c r="H181" i="3"/>
  <c r="G181" i="3"/>
  <c r="F181" i="3"/>
  <c r="D181" i="3"/>
  <c r="A181" i="3"/>
  <c r="H180" i="3"/>
  <c r="G180" i="3"/>
  <c r="F180" i="3"/>
  <c r="D180" i="3"/>
  <c r="A180" i="3"/>
  <c r="H179" i="3"/>
  <c r="G179" i="3"/>
  <c r="F179" i="3"/>
  <c r="D179" i="3"/>
  <c r="A179" i="3"/>
  <c r="H178" i="3"/>
  <c r="G178" i="3"/>
  <c r="F178" i="3"/>
  <c r="D178" i="3"/>
  <c r="A178" i="3"/>
  <c r="H177" i="3"/>
  <c r="G177" i="3"/>
  <c r="F177" i="3"/>
  <c r="D177" i="3"/>
  <c r="A177" i="3"/>
  <c r="J176" i="3"/>
  <c r="H176" i="3"/>
  <c r="G176" i="3"/>
  <c r="F176" i="3"/>
  <c r="D176" i="3"/>
  <c r="A176" i="3"/>
  <c r="J175" i="3"/>
  <c r="H175" i="3"/>
  <c r="G175" i="3"/>
  <c r="F175" i="3"/>
  <c r="D175" i="3"/>
  <c r="A175" i="3"/>
  <c r="J174" i="3"/>
  <c r="H174" i="3"/>
  <c r="G174" i="3"/>
  <c r="F174" i="3"/>
  <c r="D174" i="3"/>
  <c r="A174" i="3"/>
  <c r="H173" i="3"/>
  <c r="G173" i="3"/>
  <c r="F173" i="3"/>
  <c r="D173" i="3"/>
  <c r="A173" i="3"/>
  <c r="J172" i="3"/>
  <c r="H172" i="3"/>
  <c r="G172" i="3"/>
  <c r="F172" i="3"/>
  <c r="A172" i="3"/>
  <c r="J171" i="3"/>
  <c r="H171" i="3"/>
  <c r="G171" i="3"/>
  <c r="F171" i="3"/>
  <c r="A171" i="3"/>
  <c r="J170" i="3"/>
  <c r="H170" i="3"/>
  <c r="G170" i="3"/>
  <c r="F170" i="3"/>
  <c r="D170" i="3"/>
  <c r="A170" i="3"/>
  <c r="H169" i="3"/>
  <c r="G169" i="3"/>
  <c r="F169" i="3"/>
  <c r="D169" i="3"/>
  <c r="A169" i="3"/>
  <c r="H168" i="3"/>
  <c r="G168" i="3"/>
  <c r="F168" i="3"/>
  <c r="D168" i="3"/>
  <c r="A168" i="3"/>
  <c r="J167" i="3"/>
  <c r="H167" i="3"/>
  <c r="G167" i="3"/>
  <c r="F167" i="3"/>
  <c r="D167" i="3"/>
  <c r="A167" i="3"/>
  <c r="H166" i="3"/>
  <c r="G166" i="3"/>
  <c r="F166" i="3"/>
  <c r="D166" i="3"/>
  <c r="A166" i="3"/>
  <c r="J165" i="3"/>
  <c r="H165" i="3"/>
  <c r="G165" i="3"/>
  <c r="F165" i="3"/>
  <c r="D165" i="3"/>
  <c r="A165" i="3"/>
  <c r="J164" i="3"/>
  <c r="H164" i="3"/>
  <c r="G164" i="3"/>
  <c r="F164" i="3"/>
  <c r="D164" i="3"/>
  <c r="A164" i="3"/>
  <c r="H163" i="3"/>
  <c r="G163" i="3"/>
  <c r="F163" i="3"/>
  <c r="D163" i="3"/>
  <c r="A163" i="3"/>
  <c r="H162" i="3"/>
  <c r="G162" i="3"/>
  <c r="F162" i="3"/>
  <c r="D162" i="3"/>
  <c r="A162" i="3"/>
  <c r="J161" i="3"/>
  <c r="H161" i="3"/>
  <c r="G161" i="3"/>
  <c r="F161" i="3"/>
  <c r="D161" i="3"/>
  <c r="A161" i="3"/>
  <c r="J160" i="3"/>
  <c r="H160" i="3"/>
  <c r="G160" i="3"/>
  <c r="F160" i="3"/>
  <c r="D160" i="3"/>
  <c r="A160" i="3"/>
  <c r="H159" i="3"/>
  <c r="G159" i="3"/>
  <c r="F159" i="3"/>
  <c r="D159" i="3"/>
  <c r="A159" i="3"/>
  <c r="H158" i="3"/>
  <c r="G158" i="3"/>
  <c r="F158" i="3"/>
  <c r="D158" i="3"/>
  <c r="A158" i="3"/>
  <c r="J157" i="3"/>
  <c r="H157" i="3"/>
  <c r="G157" i="3"/>
  <c r="F157" i="3"/>
  <c r="D157" i="3"/>
  <c r="A157" i="3"/>
  <c r="H156" i="3"/>
  <c r="G156" i="3"/>
  <c r="F156" i="3"/>
  <c r="D156" i="3"/>
  <c r="A156" i="3"/>
  <c r="J155" i="3"/>
  <c r="H155" i="3"/>
  <c r="G155" i="3"/>
  <c r="F155" i="3"/>
  <c r="D155" i="3"/>
  <c r="A155" i="3"/>
  <c r="J154" i="3"/>
  <c r="H154" i="3"/>
  <c r="G154" i="3"/>
  <c r="F154" i="3"/>
  <c r="D154" i="3"/>
  <c r="A154" i="3"/>
  <c r="J153" i="3"/>
  <c r="H153" i="3"/>
  <c r="G153" i="3"/>
  <c r="F153" i="3"/>
  <c r="D153" i="3"/>
  <c r="A153" i="3"/>
  <c r="H152" i="3"/>
  <c r="G152" i="3"/>
  <c r="F152" i="3"/>
  <c r="D152" i="3"/>
  <c r="A152" i="3"/>
  <c r="H151" i="3"/>
  <c r="G151" i="3"/>
  <c r="F151" i="3"/>
  <c r="D151" i="3"/>
  <c r="A151" i="3"/>
  <c r="J150" i="3"/>
  <c r="H150" i="3"/>
  <c r="G150" i="3"/>
  <c r="F150" i="3"/>
  <c r="D150" i="3"/>
  <c r="A150" i="3"/>
  <c r="H149" i="3"/>
  <c r="G149" i="3"/>
  <c r="F149" i="3"/>
  <c r="D149" i="3"/>
  <c r="A149" i="3"/>
  <c r="J148" i="3"/>
  <c r="H148" i="3"/>
  <c r="G148" i="3"/>
  <c r="F148" i="3"/>
  <c r="D148" i="3"/>
  <c r="A148" i="3"/>
  <c r="H147" i="3"/>
  <c r="G147" i="3"/>
  <c r="F147" i="3"/>
  <c r="D147" i="3"/>
  <c r="A147" i="3"/>
  <c r="J146" i="3"/>
  <c r="H146" i="3"/>
  <c r="G146" i="3"/>
  <c r="F146" i="3"/>
  <c r="D146" i="3"/>
  <c r="A146" i="3"/>
  <c r="J145" i="3"/>
  <c r="H145" i="3"/>
  <c r="G145" i="3"/>
  <c r="F145" i="3"/>
  <c r="D145" i="3"/>
  <c r="A145" i="3"/>
  <c r="H144" i="3"/>
  <c r="G144" i="3"/>
  <c r="F144" i="3"/>
  <c r="D144" i="3"/>
  <c r="A144" i="3"/>
  <c r="J143" i="3"/>
  <c r="H143" i="3"/>
  <c r="G143" i="3"/>
  <c r="F143" i="3"/>
  <c r="D143" i="3"/>
  <c r="A143" i="3"/>
  <c r="J142" i="3"/>
  <c r="H142" i="3"/>
  <c r="G142" i="3"/>
  <c r="F142" i="3"/>
  <c r="D142" i="3"/>
  <c r="A142" i="3"/>
  <c r="H141" i="3"/>
  <c r="G141" i="3"/>
  <c r="F141" i="3"/>
  <c r="D141" i="3"/>
  <c r="A141" i="3"/>
  <c r="J140" i="3"/>
  <c r="H140" i="3"/>
  <c r="G140" i="3"/>
  <c r="F140" i="3"/>
  <c r="D140" i="3"/>
  <c r="A140" i="3"/>
  <c r="H139" i="3"/>
  <c r="G139" i="3"/>
  <c r="F139" i="3"/>
  <c r="D139" i="3"/>
  <c r="A139" i="3"/>
  <c r="J138" i="3"/>
  <c r="H138" i="3"/>
  <c r="G138" i="3"/>
  <c r="F138" i="3"/>
  <c r="D138" i="3"/>
  <c r="A138" i="3"/>
  <c r="J137" i="3"/>
  <c r="H137" i="3"/>
  <c r="G137" i="3"/>
  <c r="F137" i="3"/>
  <c r="D137" i="3"/>
  <c r="A137" i="3"/>
  <c r="J136" i="3"/>
  <c r="H136" i="3"/>
  <c r="G136" i="3"/>
  <c r="F136" i="3"/>
  <c r="D136" i="3"/>
  <c r="A136" i="3"/>
  <c r="H135" i="3"/>
  <c r="G135" i="3"/>
  <c r="F135" i="3"/>
  <c r="D135" i="3"/>
  <c r="A135" i="3"/>
  <c r="J134" i="3"/>
  <c r="H134" i="3"/>
  <c r="G134" i="3"/>
  <c r="F134" i="3"/>
  <c r="D134" i="3"/>
  <c r="A134" i="3"/>
  <c r="J133" i="3"/>
  <c r="H133" i="3"/>
  <c r="G133" i="3"/>
  <c r="F133" i="3"/>
  <c r="D133" i="3"/>
  <c r="A133" i="3"/>
  <c r="H132" i="3"/>
  <c r="G132" i="3"/>
  <c r="F132" i="3"/>
  <c r="D132" i="3"/>
  <c r="A132" i="3"/>
  <c r="H131" i="3"/>
  <c r="G131" i="3"/>
  <c r="F131" i="3"/>
  <c r="D131" i="3"/>
  <c r="A131" i="3"/>
  <c r="J130" i="3"/>
  <c r="H130" i="3"/>
  <c r="G130" i="3"/>
  <c r="F130" i="3"/>
  <c r="D130" i="3"/>
  <c r="A130" i="3"/>
  <c r="H129" i="3"/>
  <c r="G129" i="3"/>
  <c r="F129" i="3"/>
  <c r="D129" i="3"/>
  <c r="A129" i="3"/>
  <c r="H128" i="3"/>
  <c r="G128" i="3"/>
  <c r="F128" i="3"/>
  <c r="D128" i="3"/>
  <c r="A128" i="3"/>
  <c r="H127" i="3"/>
  <c r="G127" i="3"/>
  <c r="F127" i="3"/>
  <c r="D127" i="3"/>
  <c r="A127" i="3"/>
  <c r="J126" i="3"/>
  <c r="H126" i="3"/>
  <c r="G126" i="3"/>
  <c r="F126" i="3"/>
  <c r="D126" i="3"/>
  <c r="A126" i="3"/>
  <c r="J125" i="3"/>
  <c r="H125" i="3"/>
  <c r="G125" i="3"/>
  <c r="F125" i="3"/>
  <c r="D125" i="3"/>
  <c r="A125" i="3"/>
  <c r="J124" i="3"/>
  <c r="H124" i="3"/>
  <c r="G124" i="3"/>
  <c r="F124" i="3"/>
  <c r="D124" i="3"/>
  <c r="A124" i="3"/>
  <c r="J123" i="3"/>
  <c r="H123" i="3"/>
  <c r="G123" i="3"/>
  <c r="F123" i="3"/>
  <c r="D123" i="3"/>
  <c r="A123" i="3"/>
  <c r="H122" i="3"/>
  <c r="G122" i="3"/>
  <c r="F122" i="3"/>
  <c r="D122" i="3"/>
  <c r="A122" i="3"/>
  <c r="J121" i="3"/>
  <c r="H121" i="3"/>
  <c r="G121" i="3"/>
  <c r="F121" i="3"/>
  <c r="D121" i="3"/>
  <c r="A121" i="3"/>
  <c r="J120" i="3"/>
  <c r="H120" i="3"/>
  <c r="G120" i="3"/>
  <c r="F120" i="3"/>
  <c r="D120" i="3"/>
  <c r="A120" i="3"/>
  <c r="J119" i="3"/>
  <c r="H119" i="3"/>
  <c r="G119" i="3"/>
  <c r="F119" i="3"/>
  <c r="D119" i="3"/>
  <c r="A119" i="3"/>
  <c r="J118" i="3"/>
  <c r="H118" i="3"/>
  <c r="G118" i="3"/>
  <c r="F118" i="3"/>
  <c r="D118" i="3"/>
  <c r="A118" i="3"/>
  <c r="H117" i="3"/>
  <c r="G117" i="3"/>
  <c r="F117" i="3"/>
  <c r="D117" i="3"/>
  <c r="A117" i="3"/>
  <c r="H116" i="3"/>
  <c r="G116" i="3"/>
  <c r="F116" i="3"/>
  <c r="D116" i="3"/>
  <c r="A116" i="3"/>
  <c r="H115" i="3"/>
  <c r="G115" i="3"/>
  <c r="F115" i="3"/>
  <c r="D115" i="3"/>
  <c r="A115" i="3"/>
  <c r="H114" i="3"/>
  <c r="G114" i="3"/>
  <c r="F114" i="3"/>
  <c r="D114" i="3"/>
  <c r="A114" i="3"/>
  <c r="J113" i="3"/>
  <c r="H113" i="3"/>
  <c r="G113" i="3"/>
  <c r="F113" i="3"/>
  <c r="D113" i="3"/>
  <c r="A113" i="3"/>
  <c r="J112" i="3"/>
  <c r="H112" i="3"/>
  <c r="G112" i="3"/>
  <c r="F112" i="3"/>
  <c r="D112" i="3"/>
  <c r="A112" i="3"/>
  <c r="J111" i="3"/>
  <c r="H111" i="3"/>
  <c r="G111" i="3"/>
  <c r="F111" i="3"/>
  <c r="D111" i="3"/>
  <c r="A111" i="3"/>
  <c r="J110" i="3"/>
  <c r="H110" i="3"/>
  <c r="G110" i="3"/>
  <c r="F110" i="3"/>
  <c r="D110" i="3"/>
  <c r="A110" i="3"/>
  <c r="J109" i="3"/>
  <c r="H109" i="3"/>
  <c r="G109" i="3"/>
  <c r="F109" i="3"/>
  <c r="D109" i="3"/>
  <c r="A109" i="3"/>
  <c r="J108" i="3"/>
  <c r="H108" i="3"/>
  <c r="G108" i="3"/>
  <c r="F108" i="3"/>
  <c r="D108" i="3"/>
  <c r="A108" i="3"/>
  <c r="H107" i="3"/>
  <c r="G107" i="3"/>
  <c r="F107" i="3"/>
  <c r="D107" i="3"/>
  <c r="A107" i="3"/>
  <c r="J106" i="3"/>
  <c r="H106" i="3"/>
  <c r="G106" i="3"/>
  <c r="F106" i="3"/>
  <c r="D106" i="3"/>
  <c r="A106" i="3"/>
  <c r="J105" i="3"/>
  <c r="H105" i="3"/>
  <c r="G105" i="3"/>
  <c r="F105" i="3"/>
  <c r="D105" i="3"/>
  <c r="A105" i="3"/>
  <c r="J104" i="3"/>
  <c r="H104" i="3"/>
  <c r="G104" i="3"/>
  <c r="F104" i="3"/>
  <c r="D104" i="3"/>
  <c r="A104" i="3"/>
  <c r="J103" i="3"/>
  <c r="H103" i="3"/>
  <c r="G103" i="3"/>
  <c r="F103" i="3"/>
  <c r="D103" i="3"/>
  <c r="A103" i="3"/>
  <c r="J102" i="3"/>
  <c r="H102" i="3"/>
  <c r="G102" i="3"/>
  <c r="F102" i="3"/>
  <c r="D102" i="3"/>
  <c r="A102" i="3"/>
  <c r="J101" i="3"/>
  <c r="H101" i="3"/>
  <c r="G101" i="3"/>
  <c r="F101" i="3"/>
  <c r="D101" i="3"/>
  <c r="A101" i="3"/>
  <c r="J100" i="3"/>
  <c r="H100" i="3"/>
  <c r="G100" i="3"/>
  <c r="F100" i="3"/>
  <c r="D100" i="3"/>
  <c r="A100" i="3"/>
  <c r="J99" i="3"/>
  <c r="H99" i="3"/>
  <c r="G99" i="3"/>
  <c r="F99" i="3"/>
  <c r="D99" i="3"/>
  <c r="A99" i="3"/>
  <c r="J98" i="3"/>
  <c r="H98" i="3"/>
  <c r="G98" i="3"/>
  <c r="F98" i="3"/>
  <c r="D98" i="3"/>
  <c r="A98" i="3"/>
  <c r="J97" i="3"/>
  <c r="H97" i="3"/>
  <c r="G97" i="3"/>
  <c r="F97" i="3"/>
  <c r="D97" i="3"/>
  <c r="A97" i="3"/>
  <c r="H96" i="3"/>
  <c r="G96" i="3"/>
  <c r="F96" i="3"/>
  <c r="D96" i="3"/>
  <c r="A96" i="3"/>
  <c r="H95" i="3"/>
  <c r="G95" i="3"/>
  <c r="F95" i="3"/>
  <c r="D95" i="3"/>
  <c r="A95" i="3"/>
  <c r="H94" i="3"/>
  <c r="G94" i="3"/>
  <c r="F94" i="3"/>
  <c r="D94" i="3"/>
  <c r="A94" i="3"/>
  <c r="J93" i="3"/>
  <c r="H93" i="3"/>
  <c r="G93" i="3"/>
  <c r="F93" i="3"/>
  <c r="D93" i="3"/>
  <c r="A93" i="3"/>
  <c r="H92" i="3"/>
  <c r="G92" i="3"/>
  <c r="F92" i="3"/>
  <c r="D92" i="3"/>
  <c r="A92" i="3"/>
  <c r="H91" i="3"/>
  <c r="G91" i="3"/>
  <c r="F91" i="3"/>
  <c r="D91" i="3"/>
  <c r="A91" i="3"/>
  <c r="J90" i="3"/>
  <c r="H90" i="3"/>
  <c r="G90" i="3"/>
  <c r="F90" i="3"/>
  <c r="D90" i="3"/>
  <c r="A90" i="3"/>
  <c r="J89" i="3"/>
  <c r="H89" i="3"/>
  <c r="G89" i="3"/>
  <c r="F89" i="3"/>
  <c r="D89" i="3"/>
  <c r="A89" i="3"/>
  <c r="H88" i="3"/>
  <c r="G88" i="3"/>
  <c r="F88" i="3"/>
  <c r="D88" i="3"/>
  <c r="A88" i="3"/>
  <c r="H87" i="3"/>
  <c r="G87" i="3"/>
  <c r="F87" i="3"/>
  <c r="D87" i="3"/>
  <c r="A87" i="3"/>
  <c r="H86" i="3"/>
  <c r="G86" i="3"/>
  <c r="F86" i="3"/>
  <c r="D86" i="3"/>
  <c r="A86" i="3"/>
  <c r="J85" i="3"/>
  <c r="H85" i="3"/>
  <c r="G85" i="3"/>
  <c r="F85" i="3"/>
  <c r="D85" i="3"/>
  <c r="A85" i="3"/>
  <c r="J84" i="3"/>
  <c r="H84" i="3"/>
  <c r="G84" i="3"/>
  <c r="F84" i="3"/>
  <c r="D84" i="3"/>
  <c r="A84" i="3"/>
  <c r="J83" i="3"/>
  <c r="H83" i="3"/>
  <c r="G83" i="3"/>
  <c r="F83" i="3"/>
  <c r="D83" i="3"/>
  <c r="A83" i="3"/>
  <c r="J82" i="3"/>
  <c r="H82" i="3"/>
  <c r="G82" i="3"/>
  <c r="F82" i="3"/>
  <c r="D82" i="3"/>
  <c r="A82" i="3"/>
  <c r="J81" i="3"/>
  <c r="H81" i="3"/>
  <c r="G81" i="3"/>
  <c r="F81" i="3"/>
  <c r="D81" i="3"/>
  <c r="A81" i="3"/>
  <c r="H80" i="3"/>
  <c r="G80" i="3"/>
  <c r="F80" i="3"/>
  <c r="D80" i="3"/>
  <c r="A80" i="3"/>
  <c r="J79" i="3"/>
  <c r="H79" i="3"/>
  <c r="G79" i="3"/>
  <c r="F79" i="3"/>
  <c r="D79" i="3"/>
  <c r="A79" i="3"/>
  <c r="J78" i="3"/>
  <c r="H78" i="3"/>
  <c r="G78" i="3"/>
  <c r="F78" i="3"/>
  <c r="D78" i="3"/>
  <c r="A78" i="3"/>
  <c r="J77" i="3"/>
  <c r="H77" i="3"/>
  <c r="G77" i="3"/>
  <c r="F77" i="3"/>
  <c r="D77" i="3"/>
  <c r="A77" i="3"/>
  <c r="J76" i="3"/>
  <c r="H76" i="3"/>
  <c r="G76" i="3"/>
  <c r="F76" i="3"/>
  <c r="D76" i="3"/>
  <c r="A76" i="3"/>
  <c r="J75" i="3"/>
  <c r="H75" i="3"/>
  <c r="G75" i="3"/>
  <c r="F75" i="3"/>
  <c r="D75" i="3"/>
  <c r="A75" i="3"/>
  <c r="J74" i="3"/>
  <c r="H74" i="3"/>
  <c r="G74" i="3"/>
  <c r="F74" i="3"/>
  <c r="D74" i="3"/>
  <c r="A74" i="3"/>
  <c r="J73" i="3"/>
  <c r="H73" i="3"/>
  <c r="G73" i="3"/>
  <c r="F73" i="3"/>
  <c r="D73" i="3"/>
  <c r="A73" i="3"/>
  <c r="J72" i="3"/>
  <c r="H72" i="3"/>
  <c r="G72" i="3"/>
  <c r="F72" i="3"/>
  <c r="D72" i="3"/>
  <c r="A72" i="3"/>
  <c r="H71" i="3"/>
  <c r="G71" i="3"/>
  <c r="F71" i="3"/>
  <c r="D71" i="3"/>
  <c r="A71" i="3"/>
  <c r="J70" i="3"/>
  <c r="H70" i="3"/>
  <c r="G70" i="3"/>
  <c r="F70" i="3"/>
  <c r="D70" i="3"/>
  <c r="A70" i="3"/>
  <c r="J69" i="3"/>
  <c r="H69" i="3"/>
  <c r="G69" i="3"/>
  <c r="F69" i="3"/>
  <c r="D69" i="3"/>
  <c r="A69" i="3"/>
  <c r="H68" i="3"/>
  <c r="G68" i="3"/>
  <c r="F68" i="3"/>
  <c r="D68" i="3"/>
  <c r="A68" i="3"/>
  <c r="J67" i="3"/>
  <c r="H67" i="3"/>
  <c r="G67" i="3"/>
  <c r="F67" i="3"/>
  <c r="D67" i="3"/>
  <c r="A67" i="3"/>
  <c r="H66" i="3"/>
  <c r="G66" i="3"/>
  <c r="F66" i="3"/>
  <c r="D66" i="3"/>
  <c r="A66" i="3"/>
  <c r="H65" i="3"/>
  <c r="G65" i="3"/>
  <c r="F65" i="3"/>
  <c r="D65" i="3"/>
  <c r="A65" i="3"/>
  <c r="J64" i="3"/>
  <c r="H64" i="3"/>
  <c r="G64" i="3"/>
  <c r="F64" i="3"/>
  <c r="D64" i="3"/>
  <c r="A64" i="3"/>
  <c r="H63" i="3"/>
  <c r="G63" i="3"/>
  <c r="F63" i="3"/>
  <c r="D63" i="3"/>
  <c r="A63" i="3"/>
  <c r="H62" i="3"/>
  <c r="G62" i="3"/>
  <c r="F62" i="3"/>
  <c r="D62" i="3"/>
  <c r="A62" i="3"/>
  <c r="J61" i="3"/>
  <c r="H61" i="3"/>
  <c r="G61" i="3"/>
  <c r="F61" i="3"/>
  <c r="D61" i="3"/>
  <c r="A61" i="3"/>
  <c r="H60" i="3"/>
  <c r="G60" i="3"/>
  <c r="F60" i="3"/>
  <c r="D60" i="3"/>
  <c r="A60" i="3"/>
  <c r="J59" i="3"/>
  <c r="H59" i="3"/>
  <c r="G59" i="3"/>
  <c r="F59" i="3"/>
  <c r="D59" i="3"/>
  <c r="A59" i="3"/>
  <c r="J58" i="3"/>
  <c r="H58" i="3"/>
  <c r="G58" i="3"/>
  <c r="F58" i="3"/>
  <c r="D58" i="3"/>
  <c r="A58" i="3"/>
  <c r="J57" i="3"/>
  <c r="H57" i="3"/>
  <c r="G57" i="3"/>
  <c r="F57" i="3"/>
  <c r="D57" i="3"/>
  <c r="A57" i="3"/>
  <c r="H56" i="3"/>
  <c r="G56" i="3"/>
  <c r="F56" i="3"/>
  <c r="D56" i="3"/>
  <c r="A56" i="3"/>
  <c r="J55" i="3"/>
  <c r="H55" i="3"/>
  <c r="G55" i="3"/>
  <c r="F55" i="3"/>
  <c r="D55" i="3"/>
  <c r="A55" i="3"/>
  <c r="J54" i="3"/>
  <c r="H54" i="3"/>
  <c r="G54" i="3"/>
  <c r="F54" i="3"/>
  <c r="D54" i="3"/>
  <c r="A54" i="3"/>
  <c r="J53" i="3"/>
  <c r="H53" i="3"/>
  <c r="G53" i="3"/>
  <c r="F53" i="3"/>
  <c r="D53" i="3"/>
  <c r="A53" i="3"/>
  <c r="J52" i="3"/>
  <c r="H52" i="3"/>
  <c r="G52" i="3"/>
  <c r="F52" i="3"/>
  <c r="D52" i="3"/>
  <c r="A52" i="3"/>
  <c r="H51" i="3"/>
  <c r="G51" i="3"/>
  <c r="F51" i="3"/>
  <c r="D51" i="3"/>
  <c r="A51" i="3"/>
  <c r="J50" i="3"/>
  <c r="H50" i="3"/>
  <c r="G50" i="3"/>
  <c r="F50" i="3"/>
  <c r="D50" i="3"/>
  <c r="A50" i="3"/>
  <c r="J49" i="3"/>
  <c r="H49" i="3"/>
  <c r="G49" i="3"/>
  <c r="F49" i="3"/>
  <c r="D49" i="3"/>
  <c r="A49" i="3"/>
  <c r="H48" i="3"/>
  <c r="G48" i="3"/>
  <c r="F48" i="3"/>
  <c r="D48" i="3"/>
  <c r="A48" i="3"/>
  <c r="J47" i="3"/>
  <c r="H47" i="3"/>
  <c r="G47" i="3"/>
  <c r="F47" i="3"/>
  <c r="D47" i="3"/>
  <c r="A47" i="3"/>
  <c r="J46" i="3"/>
  <c r="H46" i="3"/>
  <c r="G46" i="3"/>
  <c r="F46" i="3"/>
  <c r="D46" i="3"/>
  <c r="A46" i="3"/>
  <c r="J45" i="3"/>
  <c r="H45" i="3"/>
  <c r="G45" i="3"/>
  <c r="F45" i="3"/>
  <c r="D45" i="3"/>
  <c r="A45" i="3"/>
  <c r="J44" i="3"/>
  <c r="H44" i="3"/>
  <c r="G44" i="3"/>
  <c r="F44" i="3"/>
  <c r="D44" i="3"/>
  <c r="A44" i="3"/>
  <c r="J43" i="3"/>
  <c r="H43" i="3"/>
  <c r="G43" i="3"/>
  <c r="F43" i="3"/>
  <c r="D43" i="3"/>
  <c r="A43" i="3"/>
  <c r="J42" i="3"/>
  <c r="H42" i="3"/>
  <c r="G42" i="3"/>
  <c r="F42" i="3"/>
  <c r="D42" i="3"/>
  <c r="A42" i="3"/>
  <c r="J41" i="3"/>
  <c r="H41" i="3"/>
  <c r="G41" i="3"/>
  <c r="F41" i="3"/>
  <c r="D41" i="3"/>
  <c r="A41" i="3"/>
  <c r="H40" i="3"/>
  <c r="G40" i="3"/>
  <c r="F40" i="3"/>
  <c r="D40" i="3"/>
  <c r="A40" i="3"/>
  <c r="J39" i="3"/>
  <c r="H39" i="3"/>
  <c r="G39" i="3"/>
  <c r="F39" i="3"/>
  <c r="D39" i="3"/>
  <c r="A39" i="3"/>
  <c r="J38" i="3"/>
  <c r="H38" i="3"/>
  <c r="G38" i="3"/>
  <c r="F38" i="3"/>
  <c r="D38" i="3"/>
  <c r="A38" i="3"/>
  <c r="H37" i="3"/>
  <c r="G37" i="3"/>
  <c r="F37" i="3"/>
  <c r="D37" i="3"/>
  <c r="A37" i="3"/>
  <c r="J36" i="3"/>
  <c r="H36" i="3"/>
  <c r="G36" i="3"/>
  <c r="F36" i="3"/>
  <c r="D36" i="3"/>
  <c r="A36" i="3"/>
  <c r="H35" i="3"/>
  <c r="G35" i="3"/>
  <c r="F35" i="3"/>
  <c r="D35" i="3"/>
  <c r="A35" i="3"/>
  <c r="H34" i="3"/>
  <c r="G34" i="3"/>
  <c r="F34" i="3"/>
  <c r="D34" i="3"/>
  <c r="A34" i="3"/>
  <c r="H33" i="3"/>
  <c r="G33" i="3"/>
  <c r="F33" i="3"/>
  <c r="D33" i="3"/>
  <c r="A33" i="3"/>
  <c r="J32" i="3"/>
  <c r="H32" i="3"/>
  <c r="G32" i="3"/>
  <c r="F32" i="3"/>
  <c r="D32" i="3"/>
  <c r="A32" i="3"/>
  <c r="J31" i="3"/>
  <c r="H31" i="3"/>
  <c r="G31" i="3"/>
  <c r="F31" i="3"/>
  <c r="D31" i="3"/>
  <c r="A31" i="3"/>
  <c r="J30" i="3"/>
  <c r="H30" i="3"/>
  <c r="G30" i="3"/>
  <c r="F30" i="3"/>
  <c r="D30" i="3"/>
  <c r="A30" i="3"/>
  <c r="J29" i="3"/>
  <c r="H29" i="3"/>
  <c r="G29" i="3"/>
  <c r="F29" i="3"/>
  <c r="D29" i="3"/>
  <c r="A29" i="3"/>
  <c r="J28" i="3"/>
  <c r="H28" i="3"/>
  <c r="G28" i="3"/>
  <c r="F28" i="3"/>
  <c r="D28" i="3"/>
  <c r="A28" i="3"/>
  <c r="H27" i="3"/>
  <c r="G27" i="3"/>
  <c r="F27" i="3"/>
  <c r="D27" i="3"/>
  <c r="A27" i="3"/>
  <c r="H26" i="3"/>
  <c r="G26" i="3"/>
  <c r="F26" i="3"/>
  <c r="D26" i="3"/>
  <c r="A26" i="3"/>
  <c r="J25" i="3"/>
  <c r="H25" i="3"/>
  <c r="G25" i="3"/>
  <c r="F25" i="3"/>
  <c r="D25" i="3"/>
  <c r="A25" i="3"/>
  <c r="J24" i="3"/>
  <c r="H24" i="3"/>
  <c r="G24" i="3"/>
  <c r="F24" i="3"/>
  <c r="D24" i="3"/>
  <c r="A24" i="3"/>
  <c r="J23" i="3"/>
  <c r="H23" i="3"/>
  <c r="G23" i="3"/>
  <c r="F23" i="3"/>
  <c r="D23" i="3"/>
  <c r="A23" i="3"/>
  <c r="J22" i="3"/>
  <c r="H22" i="3"/>
  <c r="G22" i="3"/>
  <c r="F22" i="3"/>
  <c r="D22" i="3"/>
  <c r="A22" i="3"/>
  <c r="J21" i="3"/>
  <c r="H21" i="3"/>
  <c r="G21" i="3"/>
  <c r="F21" i="3"/>
  <c r="D21" i="3"/>
  <c r="A21" i="3"/>
  <c r="J20" i="3"/>
  <c r="H20" i="3"/>
  <c r="G20" i="3"/>
  <c r="F20" i="3"/>
  <c r="D20" i="3"/>
  <c r="A20" i="3"/>
  <c r="J19" i="3"/>
  <c r="H19" i="3"/>
  <c r="G19" i="3"/>
  <c r="F19" i="3"/>
  <c r="D19" i="3"/>
  <c r="A19" i="3"/>
  <c r="J18" i="3"/>
  <c r="H18" i="3"/>
  <c r="G18" i="3"/>
  <c r="F18" i="3"/>
  <c r="D18" i="3"/>
  <c r="A18" i="3"/>
  <c r="H17" i="3"/>
  <c r="G17" i="3"/>
  <c r="F17" i="3"/>
  <c r="D17" i="3"/>
  <c r="A17" i="3"/>
  <c r="H16" i="3"/>
  <c r="G16" i="3"/>
  <c r="F16" i="3"/>
  <c r="D16" i="3"/>
  <c r="A16" i="3"/>
  <c r="J15" i="3"/>
  <c r="H15" i="3"/>
  <c r="G15" i="3"/>
  <c r="F15" i="3"/>
  <c r="D15" i="3"/>
  <c r="A15" i="3"/>
  <c r="J14" i="3"/>
  <c r="H14" i="3"/>
  <c r="G14" i="3"/>
  <c r="F14" i="3"/>
  <c r="D14" i="3"/>
  <c r="A14" i="3"/>
  <c r="H13" i="3"/>
  <c r="G13" i="3"/>
  <c r="F13" i="3"/>
  <c r="D13" i="3"/>
  <c r="A13" i="3"/>
  <c r="J12" i="3"/>
  <c r="H12" i="3"/>
  <c r="G12" i="3"/>
  <c r="F12" i="3"/>
  <c r="D12" i="3"/>
  <c r="A12" i="3"/>
  <c r="J11" i="3"/>
  <c r="H11" i="3"/>
  <c r="G11" i="3"/>
  <c r="F11" i="3"/>
  <c r="D11" i="3"/>
  <c r="A11" i="3"/>
  <c r="J10" i="3"/>
  <c r="H10" i="3"/>
  <c r="G10" i="3"/>
  <c r="F10" i="3"/>
  <c r="D10" i="3"/>
  <c r="A10" i="3"/>
  <c r="J9" i="3"/>
  <c r="H9" i="3"/>
  <c r="G9" i="3"/>
  <c r="F9" i="3"/>
  <c r="D9" i="3"/>
  <c r="A9" i="3"/>
  <c r="J8" i="3"/>
  <c r="H8" i="3"/>
  <c r="G8" i="3"/>
  <c r="F8" i="3"/>
  <c r="D8" i="3"/>
  <c r="A8" i="3"/>
  <c r="J7" i="3"/>
  <c r="H7" i="3"/>
  <c r="G7" i="3"/>
  <c r="F7" i="3"/>
  <c r="D7" i="3"/>
  <c r="A7" i="3"/>
  <c r="J6" i="3"/>
  <c r="H6" i="3"/>
  <c r="G6" i="3"/>
  <c r="F6" i="3"/>
  <c r="D6" i="3"/>
  <c r="A6" i="3"/>
</calcChain>
</file>

<file path=xl/sharedStrings.xml><?xml version="1.0" encoding="utf-8"?>
<sst xmlns="http://schemas.openxmlformats.org/spreadsheetml/2006/main" count="8957" uniqueCount="2926">
  <si>
    <t>Broj ugovora</t>
  </si>
  <si>
    <t>Vrsta ugovora</t>
  </si>
  <si>
    <t>Predmet ugovora</t>
  </si>
  <si>
    <t>Evidencijski broj nabave i broj objave</t>
  </si>
  <si>
    <t>Vrsta provedenog postupka javne nabave, uključujući i postupak sklapanja ugovora o javnim uslugama iz Dodatka II. B ovoga Zakona</t>
  </si>
  <si>
    <t>Iznos sklopljenog ugovora o javnoj nabavi ili okvirnog sporazuma, uključujući i ugovora o javnoj nabavi na temelju okvirnog sporazuma (bez PDV-a)</t>
  </si>
  <si>
    <t>Datum sklapanja i rok na koji je sklopljen ugovor o javnoj nabavi ili okvirni sporazum, uključujući i ugovor o javnoj nabavi na temelju okvirnog sporazuma</t>
  </si>
  <si>
    <t>Konačni datum isporuke robe, pružanja usluge ili izvođenja radova</t>
  </si>
  <si>
    <t>Konačni iznos koji je naručitelj isplatio na temelju ugovora o javnoj nabavi te obrazloženje ukoliko je taj iznos veći od ugovorenog (s PDV-om)</t>
  </si>
  <si>
    <t>Napomena</t>
  </si>
  <si>
    <t>-</t>
  </si>
  <si>
    <t>Aneks ugovora o javnoj nabavi</t>
  </si>
  <si>
    <t>pregovarački postupak javne nabave bez prethodne objave</t>
  </si>
  <si>
    <t>11.02.2013.</t>
  </si>
  <si>
    <t>Ugovor o javnoj nabavi</t>
  </si>
  <si>
    <t>otvoreni postupak javne nabave</t>
  </si>
  <si>
    <t>30.12.2013.</t>
  </si>
  <si>
    <t>27.09.2012.</t>
  </si>
  <si>
    <t>30.06.2012.</t>
  </si>
  <si>
    <t>16.11.2012.</t>
  </si>
  <si>
    <t>03.04.2014.</t>
  </si>
  <si>
    <t>13.12.2012.</t>
  </si>
  <si>
    <t>25.07.2013.</t>
  </si>
  <si>
    <t>30.10.2012.</t>
  </si>
  <si>
    <t>14.12.2012.</t>
  </si>
  <si>
    <t>26.11.2013.</t>
  </si>
  <si>
    <t>Ugovor na temelju okvirnog sporazuma</t>
  </si>
  <si>
    <t>sklapanje ugovora temeljem okvirnog sporazuma</t>
  </si>
  <si>
    <t>16.01.2013.</t>
  </si>
  <si>
    <t>30.05.2012.</t>
  </si>
  <si>
    <t>03.05.2012.</t>
  </si>
  <si>
    <t>10.07.2012.</t>
  </si>
  <si>
    <t>15.02.2013.</t>
  </si>
  <si>
    <t>18.06.2012.</t>
  </si>
  <si>
    <t>11.10.2012.</t>
  </si>
  <si>
    <t>29.08.2012.</t>
  </si>
  <si>
    <t>05.11.2012.</t>
  </si>
  <si>
    <t>20.01.2013.</t>
  </si>
  <si>
    <t>31.03.2014.</t>
  </si>
  <si>
    <t>23.11.2012.</t>
  </si>
  <si>
    <t>sklapanje ugovora o javnim uslugama iz dodatka II.B Zakona</t>
  </si>
  <si>
    <t>15.03.2012.</t>
  </si>
  <si>
    <t>03.12.2012.</t>
  </si>
  <si>
    <t>01.02.2012.</t>
  </si>
  <si>
    <t>07.02.2012.</t>
  </si>
  <si>
    <t>22.08.2012.</t>
  </si>
  <si>
    <t>12.02.2013.</t>
  </si>
  <si>
    <t>02.05.2012.</t>
  </si>
  <si>
    <t>30.03.2012.</t>
  </si>
  <si>
    <t>28.08.2012.</t>
  </si>
  <si>
    <t>09.07.2012.</t>
  </si>
  <si>
    <t>31.05.2013.</t>
  </si>
  <si>
    <t>07.04.2012.</t>
  </si>
  <si>
    <t>20.11.2013.</t>
  </si>
  <si>
    <t>16.05.2012.</t>
  </si>
  <si>
    <t>18.04.2012.</t>
  </si>
  <si>
    <t>Raskid ugovora o javnoj nabavi</t>
  </si>
  <si>
    <t>07.03.2012.</t>
  </si>
  <si>
    <t>06.02.2013.</t>
  </si>
  <si>
    <t>06.03.2014.</t>
  </si>
  <si>
    <t>02.05.2015.</t>
  </si>
  <si>
    <t>06.04.2012.</t>
  </si>
  <si>
    <t>07.03.2013.</t>
  </si>
  <si>
    <t>24.01.2013.</t>
  </si>
  <si>
    <t>13.01.2012.</t>
  </si>
  <si>
    <t>27.12.2013.</t>
  </si>
  <si>
    <t>07.01.2013.</t>
  </si>
  <si>
    <t>11.01.2013.</t>
  </si>
  <si>
    <t>21.06.2012.</t>
  </si>
  <si>
    <t>08.03.2013.</t>
  </si>
  <si>
    <t>31.05.2012.</t>
  </si>
  <si>
    <t>24.04.2012.</t>
  </si>
  <si>
    <t>20.07.2012.</t>
  </si>
  <si>
    <t>06.09.2012.</t>
  </si>
  <si>
    <t>28.01.2014.</t>
  </si>
  <si>
    <t>08.01.2013.</t>
  </si>
  <si>
    <t>01.08.2013.</t>
  </si>
  <si>
    <t>10.09.2014.</t>
  </si>
  <si>
    <t>29.01.2013.</t>
  </si>
  <si>
    <t>08.06.2012.</t>
  </si>
  <si>
    <t>31.12.2012.</t>
  </si>
  <si>
    <t>03.10.2012.</t>
  </si>
  <si>
    <t>18.02.2014.</t>
  </si>
  <si>
    <t>24.09.2012.</t>
  </si>
  <si>
    <t>14.09.2012.</t>
  </si>
  <si>
    <t>02.08.2012.</t>
  </si>
  <si>
    <t>11.09.2012.</t>
  </si>
  <si>
    <t>18.09.2012.</t>
  </si>
  <si>
    <t>18.07.2012.</t>
  </si>
  <si>
    <t>14.11.2012.</t>
  </si>
  <si>
    <t>10.01.2014.</t>
  </si>
  <si>
    <t>17.09.2012.</t>
  </si>
  <si>
    <t>06.06.2012.</t>
  </si>
  <si>
    <t>26.06.2014.</t>
  </si>
  <si>
    <t>30.09.2012.</t>
  </si>
  <si>
    <t>26.07.2012.</t>
  </si>
  <si>
    <t>12.03.2013.</t>
  </si>
  <si>
    <t>otvoreni postupak nabave s namjerom sklapanja okvirnog sporazuma s jednim gospodarskim subjektom</t>
  </si>
  <si>
    <t>10.06.2013.</t>
  </si>
  <si>
    <t>22.11.2012.</t>
  </si>
  <si>
    <t>20.04.2012.</t>
  </si>
  <si>
    <t>07.05.2012.</t>
  </si>
  <si>
    <t>12.07.2012.</t>
  </si>
  <si>
    <t>04.05.2012.</t>
  </si>
  <si>
    <t>15.07.2013.</t>
  </si>
  <si>
    <t>POJEDINAČNI UGOVOR - NABAVA NAFTNIH DERIVATA</t>
  </si>
  <si>
    <t>27.12.2012.</t>
  </si>
  <si>
    <t>POJEDINAČNI UGOVOR - KUPNJA LOŽIVOG ULJA ZA POTREBE  MJESNIH ODBORA U GRADSKIM ČETVRTIMA GRADA ZAGREBA</t>
  </si>
  <si>
    <t>21.03.2014.</t>
  </si>
  <si>
    <t>27.06.2013.</t>
  </si>
  <si>
    <t>16.12.2013.</t>
  </si>
  <si>
    <t>12.12.2012.</t>
  </si>
  <si>
    <t>04.06.2014.</t>
  </si>
  <si>
    <t>POJEDINAČNI UGOVOR - ODRŽAVANJE JAVNIH POVRŠINA U ZIMSKIM UVJETIMA</t>
  </si>
  <si>
    <t>POJEDINAČNI UGOVOR - KUPNJA LOŽIVOG ULJA ZA POTREBE ODGOJNO OBRAZOVNIH USTANOVA GRADA ZAGREBA</t>
  </si>
  <si>
    <t>12.02.2012.</t>
  </si>
  <si>
    <t>10.04.2012.</t>
  </si>
  <si>
    <t>20.02.2013.</t>
  </si>
  <si>
    <t>POJEDINAČNI UGOVOR - KUPNJA RAZNOG UREDSKOG POTROŠNOG MATERIJALA ZA POTREBE GRADSKE UPRAVE GRADA ZAGREBA</t>
  </si>
  <si>
    <t>30.01.2013.</t>
  </si>
  <si>
    <t>29.05.2013.</t>
  </si>
  <si>
    <t>09.01.2013.</t>
  </si>
  <si>
    <t>08.02.2013.</t>
  </si>
  <si>
    <t>14.01.2013.</t>
  </si>
  <si>
    <t>POJEDINAČNI UGOVOR - ODRŽAVANJE JAVNIH SATOVA NA PODRUČJU GRADA ZAGREBA ZA 2012.</t>
  </si>
  <si>
    <t>18.03.2013.</t>
  </si>
  <si>
    <t>20.12.2014.</t>
  </si>
  <si>
    <t>23.01.2014.</t>
  </si>
  <si>
    <t>17.10.2014.</t>
  </si>
  <si>
    <t>19.02.2014.</t>
  </si>
  <si>
    <t>17.07.2012.</t>
  </si>
  <si>
    <t>25.10.2013.</t>
  </si>
  <si>
    <t>15.01.2013.</t>
  </si>
  <si>
    <t>09.07.2013.</t>
  </si>
  <si>
    <t>31.01.2014.</t>
  </si>
  <si>
    <t>07.11.2013.</t>
  </si>
  <si>
    <t>Okvirni sporazum</t>
  </si>
  <si>
    <t>31.07.2013.</t>
  </si>
  <si>
    <t>21.10.2013.</t>
  </si>
  <si>
    <t>otvoreni postupak nabave s namjerom sklapanja okvirnog sporazuma s tri ponuditelja</t>
  </si>
  <si>
    <t>12.10.2012.</t>
  </si>
  <si>
    <t>08.04.2013.</t>
  </si>
  <si>
    <t>29.06.2012.</t>
  </si>
  <si>
    <t>04.07.2013.</t>
  </si>
  <si>
    <t>GODIŠNJI UGOVOR - PRUŽANJE USLUGA UKLANJANJA OBJEKATA LJETNIH TERASA, POKRETNIH NAPRAVA, REKLAMNIH PANOA I OZNAKA, TE RAZNOG GRAĐEVINSKOG MATERIJALA</t>
  </si>
  <si>
    <t>18.02.2013.</t>
  </si>
  <si>
    <t>06.11.2012.</t>
  </si>
  <si>
    <t>24.06.2014.</t>
  </si>
  <si>
    <t>10.01.2013.</t>
  </si>
  <si>
    <t>04.04.2013.</t>
  </si>
  <si>
    <t>28.05.2013.</t>
  </si>
  <si>
    <t>13.08.2013.</t>
  </si>
  <si>
    <t>05.02.2013.</t>
  </si>
  <si>
    <t>17.09.2013.</t>
  </si>
  <si>
    <t>18.11.2013.</t>
  </si>
  <si>
    <t>31.08.2014.</t>
  </si>
  <si>
    <t>19.11.2012.</t>
  </si>
  <si>
    <t>28.10.2013.</t>
  </si>
  <si>
    <t>18.07.2013.</t>
  </si>
  <si>
    <t>20.03.2013.</t>
  </si>
  <si>
    <t>28.09.2012.</t>
  </si>
  <si>
    <t>11.04.2013.</t>
  </si>
  <si>
    <t>23.05.2013.</t>
  </si>
  <si>
    <t>23.08.2012.</t>
  </si>
  <si>
    <t>07.06.2013.</t>
  </si>
  <si>
    <t>27.11.2014.</t>
  </si>
  <si>
    <t>13.03.2013.</t>
  </si>
  <si>
    <t>30.01.2014.</t>
  </si>
  <si>
    <t>19.12.2012.</t>
  </si>
  <si>
    <t>28.02.2013.</t>
  </si>
  <si>
    <t>24.09.2014.</t>
  </si>
  <si>
    <t>20.05.2014.</t>
  </si>
  <si>
    <t>GODIŠNJI UGOVOR - ODRŽAVANJE INFORMATIČKOG SUSTAVA I OPREME</t>
  </si>
  <si>
    <t>04.09.2013.</t>
  </si>
  <si>
    <t>21.06.2013.</t>
  </si>
  <si>
    <t>19.04.2013.</t>
  </si>
  <si>
    <t>07.08.2013.</t>
  </si>
  <si>
    <t>14.08.2013.</t>
  </si>
  <si>
    <t>11.04.2014.</t>
  </si>
  <si>
    <t>25.09.2013.</t>
  </si>
  <si>
    <t>28.12.2012.</t>
  </si>
  <si>
    <t>28.05.2014.</t>
  </si>
  <si>
    <t>21.08.2014.</t>
  </si>
  <si>
    <t>GODIŠNJI UGOVOR - NABAVA USLUGA TEKUĆEG ODRŽAVANJA VATRODOJAVNIH SUSTAVA PROIZVODNJE HONEYWELL</t>
  </si>
  <si>
    <t>GODIŠNJI UGOVOR - NABAVA USLUGA TEKUĆEG ODRŽAVANJA PLINODOJAVNIH SUSTAVA U PLINSKIM KOTLOVNICAMA</t>
  </si>
  <si>
    <t>15.11.2012.</t>
  </si>
  <si>
    <t>14.08.2012.</t>
  </si>
  <si>
    <t>05.06.2013.</t>
  </si>
  <si>
    <t>07.12.2012.</t>
  </si>
  <si>
    <t>GODIŠNJI UGOVOR - NABAVA USLUGA TEKUĆEG ODRŽAVANJA SUSTAVA TEHNIČKE ZAŠTITE VATRODOJAVNOG SUSTAVA PROIZVODNJE SCHRACK I VATRODOJAVNOG SUSTAVA KENTEC</t>
  </si>
  <si>
    <t>02.04.2013.</t>
  </si>
  <si>
    <t>30.04.2014.</t>
  </si>
  <si>
    <t>14.04.2014.</t>
  </si>
  <si>
    <t>30.10.2013.</t>
  </si>
  <si>
    <t>18.10.2012.</t>
  </si>
  <si>
    <t>14.02.2014.</t>
  </si>
  <si>
    <t>GODIŠNJI UGOVOR - NABAVA USLUGA TEKUĆEG ODRŽAVANJA VATRODOJAVNOG SUSTAVA NOTIFIER</t>
  </si>
  <si>
    <t>11.03.2013.</t>
  </si>
  <si>
    <t>NABAVA USLUGA TEKUĆEG ODRŽAVANJA STABILNIH SUSTAVA ZA DOJAVU I GAŠENJE POŽARA, PLINODOJAVNIH SUSTAVA, VATROGASNIH APARATA I SUSTAVA TEHNIČKE ZAŠTITE: 2. GRUPA: PERIODIČNI SERVISI I POPRAVCI VATROGASNIH APARATA PROIZVODNJE PASTOR</t>
  </si>
  <si>
    <t>29.08.2014.</t>
  </si>
  <si>
    <t>01.04.2015.</t>
  </si>
  <si>
    <t>GODIŠNJI UGOVOR - NABAVA USLUGA TEKUĆEG ODRŽAVANJA VATRODOJAVNOG SUSTAVA PROIZVODNJE MORLEY</t>
  </si>
  <si>
    <t>25.04.2013.</t>
  </si>
  <si>
    <t>31.12.2013.</t>
  </si>
  <si>
    <t>10.05.2013.</t>
  </si>
  <si>
    <t>GODIŠNJI UGOVOR - ODRŽAVANJE  APLIKATIVNIH RJEŠENJA: MATICE ŠKOLA, PLAĆE VRTIĆA, SUSTAV ZA PODRŠKU PROGRAMIMA POTICANJA OBRTA, SOCIJALNE KARTICE, EVIDENCIJA IMOVINE U VLASNIŠTVU GRADA ZAGREBA, CENTRALIZIRANA NABAVA</t>
  </si>
  <si>
    <t>07.11.2012.</t>
  </si>
  <si>
    <t>31.10.2014.</t>
  </si>
  <si>
    <t>22.11.2013.</t>
  </si>
  <si>
    <t>18.06.2014.</t>
  </si>
  <si>
    <t>18.04.2013.</t>
  </si>
  <si>
    <t>04.12.2013.</t>
  </si>
  <si>
    <t>21.12.2012.</t>
  </si>
  <si>
    <t>26.04.2013.</t>
  </si>
  <si>
    <t>30.08.2014.</t>
  </si>
  <si>
    <t>GODIŠNJI UGOVOR - NABAVA USLUGA TEKUĆEG ODRŽAVANJA VATROGASNIH APARATA PROIZVODNJE PASTOR</t>
  </si>
  <si>
    <t>01.03.2013.</t>
  </si>
  <si>
    <t>15.10.2012.</t>
  </si>
  <si>
    <t>28.06.2013.</t>
  </si>
  <si>
    <t>24.10.2013.</t>
  </si>
  <si>
    <t>18.01.2013.</t>
  </si>
  <si>
    <t>18.12.2013.</t>
  </si>
  <si>
    <t>22.03.2013.</t>
  </si>
  <si>
    <t>12.08.2013.</t>
  </si>
  <si>
    <t>30.06.2013.</t>
  </si>
  <si>
    <t>17.07.2013.</t>
  </si>
  <si>
    <t>29.04.2013.</t>
  </si>
  <si>
    <t>19.08.2013.</t>
  </si>
  <si>
    <t>16.10.2012.</t>
  </si>
  <si>
    <t>20.12.2012.</t>
  </si>
  <si>
    <t>GODIŠNJI UGOVOR - ODRŽAVANJE I NADOGRADNJA SUSTAVA ZA POSLOVANJE "CENTRIX" I ODRŽAVANJE ILOCK SUSTAVA</t>
  </si>
  <si>
    <t>01.07.2013.</t>
  </si>
  <si>
    <t>18.03.2014.</t>
  </si>
  <si>
    <t>30.08.2013.</t>
  </si>
  <si>
    <t>26.09.2013.</t>
  </si>
  <si>
    <t>27.09.2013.</t>
  </si>
  <si>
    <t>24.05.2013.</t>
  </si>
  <si>
    <t>13.11.2012.</t>
  </si>
  <si>
    <t>19.12.2014.</t>
  </si>
  <si>
    <t>28.09.2013.</t>
  </si>
  <si>
    <t>20.01.2014.</t>
  </si>
  <si>
    <t>22.02.2013.</t>
  </si>
  <si>
    <t>21.02.2014.</t>
  </si>
  <si>
    <t>02.08.2013.</t>
  </si>
  <si>
    <t>19.10.2012.</t>
  </si>
  <si>
    <t>GODIŠNJI UGOVOR - NABAVA PREHRAMBENIH ARTIKALA ZA POTREBE DJEČJIH VRTIĆA GRADA ZAGREBA (NABAVA I ISPORUKA KRUHA I KRUŠNIH PROIZVODA) ZA 4. GRUPU ZONA IV. - PEŠČENICA-ŽITNJAK, NOVI ZAGREB ISTOK, NOVI ZAGREB ZAPAD, BREZOVICA</t>
  </si>
  <si>
    <t>03.10.2014.</t>
  </si>
  <si>
    <t>GODIŠNJI UGOVOR - NABAVA PREHRAMBENIH ARTIKALA ZA POTREBE DJEČJIH VRTIĆA GRADA ZAGREBA (NABAVA I ISPORUKA KRUHA I KRUŠNIH PROIZVODA), ZA 3. GRUPU ZONA III. TRNJE, TREŠNJEVKA JUG, STENJEVEC</t>
  </si>
  <si>
    <t>03.10.2013.</t>
  </si>
  <si>
    <t>GODIŠNJI UGOVOR - NABAVA PREHRAMBENIH ARTIKALA ZA POTREBE DJEČJIH VRTIĆA GRADA ZAGREBA (NABAVA I ISPORUKA KRUHA I KRUŠNIH PROIZVODA) ZA 2. GRUPU ZONA II.- SESVETE, GORNJA DUBRAVA, DONJA DUBRAVA, PODSLJEME</t>
  </si>
  <si>
    <t>GODIŠNJI UGOVOR - NABAVA PREHRAMBENIH ARTIKALA ZA POTREBE DJEČJIH VRTIĆA GRADA ZAGREBA (NABAVA I ISPORUKA KRUHA I KRUŠNIH PROIZVODA) ZA 1. GRUPU ZONA I.-MAKSIMIR, GORNJI GRAD-MEDVEŠČAK, DONJI GRAD, ČRNOMEREC, PODSUSED-VRAPČE</t>
  </si>
  <si>
    <t>05.06.2014.</t>
  </si>
  <si>
    <t>30.05.2014.</t>
  </si>
  <si>
    <t>09.10.2013.</t>
  </si>
  <si>
    <t>30.06.2014.</t>
  </si>
  <si>
    <t>ANEKS UGOVORU - REKONSTRUKCIJA I PROŠIRENJE RADNIČKE CESTE OD ULICE GRADA VUKOVARA DO HEINZELOVE ULICE - RADOVI NA IZGRADNJI CESTOVNE PROMETNICE S OBORINSKOM ODVODNJOM, GRAĐEVINSKI RADOVI ZA POTREBE SEMAFORSKIH INSTALACIJA I HUMUSIRANJE ZELENIH POVRŠINA, REG. BR. 267/12 OD 21.06.2012.</t>
  </si>
  <si>
    <t>ANEKS UGOVORU - SANACIJA PROČELJA SA VANJSKOM STOLARIJOM ZA UČENIČKI DOM NOVI ZAGREB</t>
  </si>
  <si>
    <t>27.07.2014.</t>
  </si>
  <si>
    <t>07.10.2013.</t>
  </si>
  <si>
    <t>03.04.2013.</t>
  </si>
  <si>
    <t>11.09.2013.</t>
  </si>
  <si>
    <t>GODIŠNJI UGOVOR - NABAVA STANDARDNIH INFORMATIČKIH PROGRAMSKIH ALATA</t>
  </si>
  <si>
    <t>22.10.2012.</t>
  </si>
  <si>
    <t>05.12.2012.</t>
  </si>
  <si>
    <t>05.04.2013.</t>
  </si>
  <si>
    <t>17.01.2014.</t>
  </si>
  <si>
    <t>06.03.2013.</t>
  </si>
  <si>
    <t>06.12.2012.</t>
  </si>
  <si>
    <t>03.06.2013.</t>
  </si>
  <si>
    <t>11.12.2013.</t>
  </si>
  <si>
    <t>31.12.2014.</t>
  </si>
  <si>
    <t>24.01.2014.</t>
  </si>
  <si>
    <t>10.03.2014.</t>
  </si>
  <si>
    <t>10.12.2013.</t>
  </si>
  <si>
    <t>01.02.2013.</t>
  </si>
  <si>
    <t>26.02.2013.</t>
  </si>
  <si>
    <t>06.11.2013.</t>
  </si>
  <si>
    <t>21.05.2013.</t>
  </si>
  <si>
    <t>07.02.2013.</t>
  </si>
  <si>
    <t>13.05.2013.</t>
  </si>
  <si>
    <t>12.07.2013.</t>
  </si>
  <si>
    <t>03.07.2013.</t>
  </si>
  <si>
    <t>28.08.2014.</t>
  </si>
  <si>
    <t>24.09.2013.</t>
  </si>
  <si>
    <t>27.02.2013.</t>
  </si>
  <si>
    <t>15.10.2013.</t>
  </si>
  <si>
    <t>10.12.2014.</t>
  </si>
  <si>
    <t>28.03.2014.</t>
  </si>
  <si>
    <t>31.05.2014.</t>
  </si>
  <si>
    <t>02.05.2013.</t>
  </si>
  <si>
    <t>GODIŠNJI UGOVOR - NABAVA EURO LOŽIVOG ULJA EKSTRA LAKOG GRUPA 4: ZA POTREBE GRIJANJA MJESNIH ODBORA GRADSKIH ČETVRTI GRADA ZAGREBA</t>
  </si>
  <si>
    <t>28.01.2013.</t>
  </si>
  <si>
    <t>GODIŠNJI UGOVOR - NABAVA EURO LOŽIVOG ULJA EKSTRA LAKOG GRUPA 3: ZA POTREBE GRIJANJA SREDNJIH ŠKOLA GRADA ZAGREBA</t>
  </si>
  <si>
    <t>GODIŠNJI UGOVOR - NABAVA EURO LOŽIVOG ULJA EKSTRA LAKOG GRUPA  2: ZA POTREBE GRIJANJA OSNOVNIH ŠKOLA GRADA ZAGREBA</t>
  </si>
  <si>
    <t>GODIŠNJI UGOVOR - NABAVA EURO LOŽIVOG ULJA EKSTRA LAKOG GRUPA 1:  ZA POTREBE GRIJANJA DJEČJIH VRTIĆA GRADA ZAGREBA</t>
  </si>
  <si>
    <t>50% iznosa utvrđenog Tarifom o nagradama i naknadi troškova za rad odvjetnika (NN 148/09)</t>
  </si>
  <si>
    <t>22.01.2014.</t>
  </si>
  <si>
    <t>16.07.2014.</t>
  </si>
  <si>
    <t>16.07.2013.</t>
  </si>
  <si>
    <t>26.07.2013.</t>
  </si>
  <si>
    <t>15.05.2013.</t>
  </si>
  <si>
    <t>13.11.2013.</t>
  </si>
  <si>
    <t>30.11.2013.</t>
  </si>
  <si>
    <t>13.12.2013.</t>
  </si>
  <si>
    <t>GODIŠNJI UGOVOR - USLUGE ODRŽAVANJA KOMUNIKACIJSKIH I TELEFAKS UREĐAJA, INSTALACIJE I OPREME</t>
  </si>
  <si>
    <t>24.12.2013.</t>
  </si>
  <si>
    <t>ANEKS UGOVORU - GRAĐEVINSKO OBRTNIČKI RADOVI - OŠ DR. IVANA MERZA</t>
  </si>
  <si>
    <t>POJEDINAČNI UGOVOR - RAZNI POTROŠNI UREDSKI MATERIJAL ZA POTREBE GRADSKE UPRAVE GRADA ZAGREBA</t>
  </si>
  <si>
    <t>21.02.2013.</t>
  </si>
  <si>
    <t>07.11.2014.</t>
  </si>
  <si>
    <t>POJEDINAČNI UGOVOR - NABAVA RADNO-ZAŠTITNE ODJEĆE ZA POSTROJBE OPĆE NAMJENE CIVILNE ZAŠTITE</t>
  </si>
  <si>
    <t>31.01.2013.</t>
  </si>
  <si>
    <t>13.10.2014.</t>
  </si>
  <si>
    <t>POJEDINAČNI UGOVOR - NABAVA TELEKOMUNIKACIJSKIH USLUGA U MOBILNOJ TELEFONIJI</t>
  </si>
  <si>
    <t>15.12.2014.</t>
  </si>
  <si>
    <t>17.07.2014.</t>
  </si>
  <si>
    <t>GODIŠNJI UGOVOR - ODRŽAVANJE FOTOKOPIRNIH I ISPISNIH UREĐAJA</t>
  </si>
  <si>
    <t>14.01.2014.</t>
  </si>
  <si>
    <t>08.07.2013.</t>
  </si>
  <si>
    <t>16.05.2014.</t>
  </si>
  <si>
    <t>27.08.2014.</t>
  </si>
  <si>
    <t>15.03.2015.</t>
  </si>
  <si>
    <t>05.07.2013.</t>
  </si>
  <si>
    <t>27.11.2013.</t>
  </si>
  <si>
    <t>12.12.2013.</t>
  </si>
  <si>
    <t>02.05.2014.</t>
  </si>
  <si>
    <t>30.09.2013.</t>
  </si>
  <si>
    <t>05.02.2014.</t>
  </si>
  <si>
    <t>16.10.2014.</t>
  </si>
  <si>
    <t>29.01.2014.</t>
  </si>
  <si>
    <t>13.05.2014.</t>
  </si>
  <si>
    <t>ANEKS UGOVORU - UTVRĐIVANJE TRŽIŠNE VRIJEDNOSTI NEKRETNINA ZA 1. GRUPU - GČ GORNJI GRAD-MEDVEŠČAK, DONJI GRAD, MAKSIMIR, PODSLJEME I TRNJE ZA PRODAJU I KUPNJU SVIH NEKRETNINA OSIM ZA PRODAJU STANOVA, POSLOVNIH ZGRADA, POSLOVNIH PROSTORA, GARAŽA I GARAŽNIH MJESTA, ZA  2. GRUPU - GČ TREŠNJEVKA JUG, N. ZAGREB ISTOK, N. ZAGREB ZAPAD I BREZOVICA ZA PRODAJU I KUPNJU SVIH NEKRETNINA OSIM ZA PRODAJU STANOVA, POSLOVNIH ZGRADA, POSLOVNIH PROSTORA, GARAŽA I GARAŽNIH MJESTA I ZA 3. GRUPU - GČ SESVETE, G. DUBRAVA, D. DUBRAVA I PEŠĆENICA ZA PRODAJU I KUPNJU SVIH NEKRETNINA OSIM ZA PRODAJU STANOVA, POSLOVNIH ZGRADA, POSLOVNIH PROSTORA, GARAŽA I GARAŽNIH MJESTA, REG. BROJ 412/2012 OD 01.LISTOPADA 2012.</t>
  </si>
  <si>
    <t>ANEKS UGOVORU - UTVRĐIVANJE TRŽIŠNE VRIJEDNOSTI NEKRETNINA  ZA 4. GRUPA - GČ PODSUSED-VRAPČE, ČRNOMEREC, STENJEVEC I  TREŠNJEVKA SJEVER ZA PRODAJU I KUPNJU SVIH NEKRETNINA OSIM ZA PRODAJU STANOVA, POSLOVNIH ZGRADA, POSLOVNIH PROSTORA, GARAŽA I GARAŽNIH MJESTA I ZA 6. GRUPU-ZA PRODAJU POSLOVNIH ZGRADA, POSLOVNIH PROSTORA, GARAŽA I GARAŽNIH MJESTA NA PODRUČJU GRADA ZAGREBA</t>
  </si>
  <si>
    <t>14.07.2014.</t>
  </si>
  <si>
    <t>04.04.2014.</t>
  </si>
  <si>
    <t>29.11.2013.</t>
  </si>
  <si>
    <t>27.08.2013.</t>
  </si>
  <si>
    <t>25.03.2014.</t>
  </si>
  <si>
    <t>04.10.2013.</t>
  </si>
  <si>
    <t>POJEDINAČNI UGOVOR - ODRŽAVANJE JAVNIH SATOVA NA PODRUČJU GRADA ZAGREBA</t>
  </si>
  <si>
    <t>18.12.2014.</t>
  </si>
  <si>
    <t>20.09.2013.</t>
  </si>
  <si>
    <t>14.06.2013.</t>
  </si>
  <si>
    <t>22.04.2013.</t>
  </si>
  <si>
    <t>05.12.2013.</t>
  </si>
  <si>
    <t>28.08.2013.</t>
  </si>
  <si>
    <t>11.11.2013.</t>
  </si>
  <si>
    <t>21.11.2013.</t>
  </si>
  <si>
    <t>30.04.2013.</t>
  </si>
  <si>
    <t>18.06.2013.</t>
  </si>
  <si>
    <t>28.03.2013.</t>
  </si>
  <si>
    <t>05.11.2013.</t>
  </si>
  <si>
    <t>02.07.2014.</t>
  </si>
  <si>
    <t>GODIŠNJI UGOVOR - PRUŽANJE USLUGE STRUČNE PROCJENE VOZILA KOJA SE NE KORISTE U PROMETU</t>
  </si>
  <si>
    <t>07.03.2014.</t>
  </si>
  <si>
    <t>13.02.2014.</t>
  </si>
  <si>
    <t>04.03.2014.</t>
  </si>
  <si>
    <t>GODIŠNJI UGOVOR - NABAVA PREHRAMBENIH ARTIKALA ZA POTREBE DJEČJIH VRTIĆA GRADA ZAGREBA (NABAVA I ISPORUKA MLIJEKA I MLIJEČNIH PROIZVODA) ZA GRUPU 1. ZONU 1. - MAKISMIR, GORNJI GRAD - MEDVEŠČAK, DONJI GRAD, ČRNOMEREC, PODSUSED - VRAPČE; GRUPU 2. ZONU 2 - SESVETE, GORNJA DUBRAVA, DONJA DUBRAVA, PODSLJEME, GRUPU 3. ZONU 3 - TRNJE, TREŠNJEVKA SJEVER, TREŠNJEVKA JUG, STENJEVEC I  GRUPU 4. ZONU 4 - PEŠČENICA - ŽITNJAK, NOVI ZAGREB ISTOK, NOVI ZAGREB ZAPAD, BREZOVICA</t>
  </si>
  <si>
    <t>01.03.2014.</t>
  </si>
  <si>
    <t>POJEDINAČNI UGOVOR - ODRŽAVANJE JAVIH POVRŠINA U ZIMSKIM UVJETIMA</t>
  </si>
  <si>
    <t>POJEDINAČNI UGOVOR - RAZNI UREDSKI POTROŠNI MATERIJAL</t>
  </si>
  <si>
    <t>23.07.2013.</t>
  </si>
  <si>
    <t>01.04.2013.</t>
  </si>
  <si>
    <t>08.01.2014.</t>
  </si>
  <si>
    <t>17.10.2013.</t>
  </si>
  <si>
    <t>10.10.2013.</t>
  </si>
  <si>
    <t>otvoreni postupak javne nabave s ciljem sklapanja okvirnog sporazuma</t>
  </si>
  <si>
    <t>28.02.2014.</t>
  </si>
  <si>
    <t>02.10.2013.</t>
  </si>
  <si>
    <t>26.02.2014.</t>
  </si>
  <si>
    <t>02.09.2013.</t>
  </si>
  <si>
    <t>02.12.2013.</t>
  </si>
  <si>
    <t>29.10.2013.</t>
  </si>
  <si>
    <t>13.06.2013.</t>
  </si>
  <si>
    <t>03.05.2013.</t>
  </si>
  <si>
    <t>23.04.2013.</t>
  </si>
  <si>
    <t>08.03.2014.</t>
  </si>
  <si>
    <t>20.12.2013.</t>
  </si>
  <si>
    <t>25.07.2014.</t>
  </si>
  <si>
    <t>04.11.2013.</t>
  </si>
  <si>
    <t>ANEKS  UGOVORU - PRUŽANJE USLUGE KOORDINATORA ZAŠTITE NA RADU U FAZI IZVOĐENJA RADOVA - KOORDINATOR II ZA IZGRADNJU DV "BLANJE", BLANJE BB I DV U VUGROVCU DONJEM, ULICA A. ŠENOE 28, KOD OŠ VUGROVEC-KAŠINA, REG. BROJ 337/2012 OD 21. KOLOVOZA 2012.</t>
  </si>
  <si>
    <t>ANEKS UGOVORU - IZRADA PROJEKTNE DOKUMENTACIJE ZA GRADNJU VODOOPSKRBNOG CJEVOVODA U ULICAMA: STARA CESTA, MEJNA, M. BEDEKA 1C-1E, M. BEDEKA 3-3D, PILINKA 30A-30E, CIGLARSKA, KRŠKA, PREČNA, PAVLOVEČKA, PRUŽNA, ZASTAVNICE, JEZERANSKA I TRAVARSKI ODVOJAK, REG. BROJ 432/2012 OD 11. LISTOPADA 2012.</t>
  </si>
  <si>
    <t>NABAVA PREVODNIČKIH UREĐAJA</t>
  </si>
  <si>
    <t>02.04.2014.</t>
  </si>
  <si>
    <t>11.12.2014.</t>
  </si>
  <si>
    <t>23.12.2013.</t>
  </si>
  <si>
    <t>11.08.2014.</t>
  </si>
  <si>
    <t>24.10.2014.</t>
  </si>
  <si>
    <t>06.06.2014.</t>
  </si>
  <si>
    <t>22.10.2014.</t>
  </si>
  <si>
    <t>17.02.2014.</t>
  </si>
  <si>
    <t>13.03.2014.</t>
  </si>
  <si>
    <t>16.08.2013.</t>
  </si>
  <si>
    <t>17.06.2014.</t>
  </si>
  <si>
    <t>18.09.2013.</t>
  </si>
  <si>
    <t>05.03.2014.</t>
  </si>
  <si>
    <t>15.05.2014.</t>
  </si>
  <si>
    <t>10.07.2014.</t>
  </si>
  <si>
    <t>18.10.2013.</t>
  </si>
  <si>
    <t>21.08.2013.</t>
  </si>
  <si>
    <t>15.09.2014.</t>
  </si>
  <si>
    <t>24.04.2014.</t>
  </si>
  <si>
    <t>06.10.2014.</t>
  </si>
  <si>
    <t>28.11.2013.</t>
  </si>
  <si>
    <t>17.12.2013.</t>
  </si>
  <si>
    <t>08.04.2014.</t>
  </si>
  <si>
    <t>14.11.2013.</t>
  </si>
  <si>
    <t>24.07.2014.</t>
  </si>
  <si>
    <t>29.07.2014.</t>
  </si>
  <si>
    <t>31.10.2013.</t>
  </si>
  <si>
    <t>09.01.2014.</t>
  </si>
  <si>
    <t>07.04.2014.</t>
  </si>
  <si>
    <t>16.09.2013.</t>
  </si>
  <si>
    <t>GODIŠNJI UGOVOR - OSIGURANJE RADNIKA DJEČJIH VRTIĆA GRADA ZAGREBA OD POSLJEDICA NESRETNOG SLUČAJA (NEZGODE)</t>
  </si>
  <si>
    <t>25.08.2014.</t>
  </si>
  <si>
    <t>ANEKS UGOVORU - UGRADNJA SOLARNIH SUSTAVA ZA PRIPREMU POTROŠNE TOPLE VODE U OBJEKTIMA GRADSKE UPRAVE GRADA ZAGREBA</t>
  </si>
  <si>
    <t>ANEKS UGOVORU - IZRADA PROJEKTNE DOKUMENTACIJE (GLAVNI I IZVEDBENI PROJEKT) TE ISHOĐENJE GRAĐEVINSKE DOZVOLE - GRADSKO DRAMSKO KAZALIŠTE GAVELLA</t>
  </si>
  <si>
    <t>07.05.2014.</t>
  </si>
  <si>
    <t>28.07.2014.</t>
  </si>
  <si>
    <t>GODIŠNJI UGOVOR - ODRŽAVANJE UREĐAJA U PROTUEKSPLOZIJSKOJ IZVEDBI U OBJEKTIMA GRADSKE UPRAVE</t>
  </si>
  <si>
    <t>21.07.2014.</t>
  </si>
  <si>
    <t>23.05.2014.</t>
  </si>
  <si>
    <t>14.10.2013.</t>
  </si>
  <si>
    <t>22.08.2013.</t>
  </si>
  <si>
    <t>POJEDINAČNI UGOVOR - USLUGA PODRŠKE I RAZVOJA INFORMACIJSKOG SUSTAVA GRADA ZAGREBA I PODRŠKA PRODUKCIJI DOKUMENATA</t>
  </si>
  <si>
    <t>07.08.2014.</t>
  </si>
  <si>
    <t>13.10.2013.</t>
  </si>
  <si>
    <t>01.12.2014.</t>
  </si>
  <si>
    <t>04.07.2014.</t>
  </si>
  <si>
    <t>19.09.2014.</t>
  </si>
  <si>
    <t>04.02.2014.</t>
  </si>
  <si>
    <t>19.12.2013.</t>
  </si>
  <si>
    <t>04.09.2014.</t>
  </si>
  <si>
    <t>23.10.2013.</t>
  </si>
  <si>
    <t>19.03.2015.</t>
  </si>
  <si>
    <t>25.02.2014.</t>
  </si>
  <si>
    <t>30.07.2014.</t>
  </si>
  <si>
    <t>ANEKS UGOVORU - IZVOĐENJE RADOVA NA OPLOČENJU OKO CRKVE U IVANJOJ REKI, REG. BR. 202/2013 OD 29. TRAVNJA 2013.</t>
  </si>
  <si>
    <t>14.10.2014.</t>
  </si>
  <si>
    <t>ANEKS UGOVORU - USLUGE PRIJENOSA I PRIJEVOZA OSTAVLJENIH STVARI IZ STANA I POSLOVNOG PROSTORA U SKLADIŠTE I NA DEPONIJ, REG. BR. 287/12 OD 11.07.2012.</t>
  </si>
  <si>
    <t>19.11.2014.</t>
  </si>
  <si>
    <t>24.12.2014.</t>
  </si>
  <si>
    <t>07.01.2014.</t>
  </si>
  <si>
    <t>29.09.2014.</t>
  </si>
  <si>
    <t>GODIŠNJI UGOVOR - OPSKRBA PLINOM</t>
  </si>
  <si>
    <t>01.08.2014.</t>
  </si>
  <si>
    <t>26.09.2014.</t>
  </si>
  <si>
    <t>01.09.2014.</t>
  </si>
  <si>
    <t>18.09.2014.</t>
  </si>
  <si>
    <t>12.11.2013.</t>
  </si>
  <si>
    <t>01.10.2013.</t>
  </si>
  <si>
    <t>07.02.2014.</t>
  </si>
  <si>
    <t>28.11.2014.</t>
  </si>
  <si>
    <t>30.09.2014.</t>
  </si>
  <si>
    <t>ANEKS UGOVORU - RADOVI NA OPĆOJ RASVJETI - TEHNIČKI MUZEJ "HALA A", REG. BR. 500/12 OD 13.11.2012.</t>
  </si>
  <si>
    <t>ANEKS UGOVORU - SANACIJA ULIČNOG PROČELJA I KROVA-RADIĆEVA 56</t>
  </si>
  <si>
    <t>15.07.2014.</t>
  </si>
  <si>
    <t>ANEKS UGOVORU - NABAVA PREVODNIČKIH UREĐAJA, REG. BROJ 189/2013 OD 19.04.2013.</t>
  </si>
  <si>
    <t>20.02.2014.</t>
  </si>
  <si>
    <t>22.12.2014.</t>
  </si>
  <si>
    <t>08.05.2014.</t>
  </si>
  <si>
    <t>12.05.2014.</t>
  </si>
  <si>
    <t>ANEKS UGOVORU - IZVEDBA RADOVA NA OBNOVI KROVNOG POKROVA, PODRUČNI URED MEDVEŠČAK, REG. BR. 523/12 OD 26. STUDENOG 2012.</t>
  </si>
  <si>
    <t>20.10.2014.</t>
  </si>
  <si>
    <t>ANEKS UGOVORU - NABAVA NAMJEŠTAJA I OPREME ZA 4 ODGOJNE SKUPINE, DV GAJNICE, PO BLANJE, REG. BROJ 388/13 OD 26.08.2013.</t>
  </si>
  <si>
    <t>GODIŠNJI UGOVOR - NABAVA OPSKRBE ELEKTRIČNE ENERGIJE</t>
  </si>
  <si>
    <t>03.11.2014.</t>
  </si>
  <si>
    <t>27.03.2014.</t>
  </si>
  <si>
    <t>09.04.2014.</t>
  </si>
  <si>
    <t>12.09.2014.</t>
  </si>
  <si>
    <t>24.11.2014.</t>
  </si>
  <si>
    <t>18.11.2014.</t>
  </si>
  <si>
    <t>GODIŠNJI UGOVOR - USLUGA ODRŽAVANJA UREĐAJA I POSTROJENJA U OBJEKTIMA GRADSKE UPRAVE: 3. GRUPA - ODRŽAVANJE UPS-A (NEPREKIDNO NAPAJANJE)</t>
  </si>
  <si>
    <t>31.07.2014.</t>
  </si>
  <si>
    <t>ANEKS UGOVORU - ORGANIZACIJA I PROVEDBA  URBANISTIČKO -ARHITEKTONSKOG, PROJEKTNOG NATJEČAJA ZA IDEJNO RJEŠENJE KOMPLEKSA "MEĐUGORSKA "</t>
  </si>
  <si>
    <t>04.08.2014.</t>
  </si>
  <si>
    <t>14.03.2014.</t>
  </si>
  <si>
    <t>02.09.2014.</t>
  </si>
  <si>
    <t>30.11.2014.</t>
  </si>
  <si>
    <t>27.02.2014.</t>
  </si>
  <si>
    <t>02.10.2014.</t>
  </si>
  <si>
    <t>13.01.2014.</t>
  </si>
  <si>
    <t>06.02.2014.</t>
  </si>
  <si>
    <t>16.01.2014.</t>
  </si>
  <si>
    <t>15.01.2014.</t>
  </si>
  <si>
    <t>21.01.2014.</t>
  </si>
  <si>
    <t>25.11.2014.</t>
  </si>
  <si>
    <t>18.07.2014.</t>
  </si>
  <si>
    <t>ANEKS UGOVORU - IZRADA STRATEŠKE KARTE BUKE GRADA ZAGREBA, REG. BROJ 185/2012 OD 18.04.2013</t>
  </si>
  <si>
    <t>09.05.2014.</t>
  </si>
  <si>
    <t>25.04.2014.</t>
  </si>
  <si>
    <t>II. ANEKS UGOVORU -  IZRADA PROJEKTNE DOKUMENTACIJE ZA GRADNJU VODOOPSKRBNOG CJEVOVODA U ULICAMA: STARA CESTA, MEJNA, M. BEDEKA 1C-1E, M. BEDEKA 3-3D, PILINKA 30A-30E, CIGLARSKA, KRŠKA, PREČNA, PAVLOVEČKA, PRUŽNA, ZASTAVNICE, JEZERANSKA I TRAVARSKI ODVOJAK</t>
  </si>
  <si>
    <t>01.09.2013.</t>
  </si>
  <si>
    <t>ANEKS UGOVORU – ODRŽAVANJE  INSTALACIJA GRIJANJA, VENTILACIJA I PLINSKIH INSTALACIJA</t>
  </si>
  <si>
    <t>03.03.2015.</t>
  </si>
  <si>
    <t>II. ANEKS UGOVORU - IZRADA PROJEKTNE DOKUMENTACIJE ZA GRADNJU JAVNOG KANALA U ULICAMA: BRANOVEČINA, BRANOVEČKA C., DUDAKI ŽUGLIĆI, FABIJANIĆEVA ODVOJAK KOD KBR. 10, KUNTIĆI, NOVAČKI ZAVOJ, PUKLEKI, RAKEKI OD KBR. 22, STRAŽNJIČKI PUT ODVOJAK 1. I 5., MARIJE SNJEŽNE-IŠTVANIĆI I ŽITNA</t>
  </si>
  <si>
    <t>10.06.2014.</t>
  </si>
  <si>
    <t>23.02.2015.</t>
  </si>
  <si>
    <t>07.01.2015.</t>
  </si>
  <si>
    <t>12.02.2015.</t>
  </si>
  <si>
    <t>II. ANEKS UGOVORU - IZRADA  PROJEKTNE DOKUMENTACIJE ZA GRADNJU JAVNOG KANALA U ZADVORSKOM: KAŠINCI, ZADVORSKA, KRUŽNA, PEKARSKA; U DESPRIMU: DESPRIMSKA, DREŽNIK, RAVNA; ODRANSKOM STRMCU: ČRNILO I STRMEČKA CESTA</t>
  </si>
  <si>
    <t>II ANEKS UGOVORU - IZRADA PROJEKTNE DOKUMENTACIJE ZA GRADNJU VODOOPSKRBNOG CJEVOVODA U ULICAMA: A. ARBANASA I. ODVOJAK 7-12, A. ARBANASA I. ODVOJAK OD KBR. 12 DO K.Č. 3644/2,  ULICA SV. IZIDORA 9-9F, SALJSKA, F. MALNARA IX. ODVOJAK, SISAČKA CESTA II. ODVOJAK, ČAVOGLAVSKA,POSEDARSKA, BURIĆEVA, SINJSKA I LUKORANSKA.</t>
  </si>
  <si>
    <t>14.11.2014.</t>
  </si>
  <si>
    <t>50% iznosa utvrđenog Tarifom o nagradama i naknadi troškova za rad odvjetnika (NN 142/12)</t>
  </si>
  <si>
    <t>15.10.2014.</t>
  </si>
  <si>
    <t>ANEKS UGOVORU - IZRADA PROJEKTA REKONSTRUKCIJE PROMETNICE- OPATIČKA ULICA; REG. BROJ 175/2013</t>
  </si>
  <si>
    <t>II. ANKEKS UGOVORU - IZRADA PROJEKTNE DOKUMENTACIJE ZA GRADNJU VODOOPSKRBNOG CJEVOVODA U ULICAMA: KARLOVAČKA, ŠČUKANČEVA, BREZOVIČKA 39-43A, ULICA JURINE</t>
  </si>
  <si>
    <t>ANEKS UGOVORU - II. FAZA SANACIJE OBJEKTA UČENIČKI DOM NOVI ZAGREB</t>
  </si>
  <si>
    <t>ANEKS UGOVORU - SANACIJA KUHINJE DJEČJEG VRTIĆA BOTINEC, REG. BROJ 468/2013 OD 11.10.2013</t>
  </si>
  <si>
    <t>08.12.2014.</t>
  </si>
  <si>
    <t>15.04.2014.</t>
  </si>
  <si>
    <t>ANEKS UGOVORU - REKONSTRUKCIJA TRAMVAJSKE PRUGE I KONTAKTNE MREŽE U RADNIČKOJ CESTI OD ULICE KOLEDOVČINA DO ŽELJEZNIČKE PRUGE</t>
  </si>
  <si>
    <t>II. ANEKS UGOVORU - IZRADA PROJEKTNE DOKUMENTACIJE ZA IZGRADNJU JAVNE RASVJETE U ULICAMA: GRAČANSKA CESTA, ULICA TREŠNJINA CVIJETA, PODREBERNICA, ŠESTINSKI TRG,  IGRALIŠTA KOD OŠ VIDOVEC</t>
  </si>
  <si>
    <t>II. ANEKS UGOVORU - IZRADA PROJEKTNE DOKUMENTACIJE ZA POSTAVU STUPOVA I JAVNE RASVJETE U ULICAMA: DRAGUTINA DOMJANIĆA-PRIGORSKA ULICA, JESENOVEČKA CESTA, ODVOJAK BOLČEVIĆI - PRIGORSKA ULICA, PRIGORSKA ULICA</t>
  </si>
  <si>
    <t>ANEKS UGOVORU - PROŠIRENJE TELEFONSKE CENTRALE GRADA ZAGREBA</t>
  </si>
  <si>
    <t>ANEKS UGOVORU - NABAVA OPREME ZA OPERACIJSKU SALU</t>
  </si>
  <si>
    <t>07.04.2015.</t>
  </si>
  <si>
    <t>ANEKS UGOVORU - IZRADA  TEHNIČKE DOKUMENTACIJE ZA SUSTAVE DALJINSKOG MJERENJA</t>
  </si>
  <si>
    <t>23.12.2014.</t>
  </si>
  <si>
    <t>ANEKS UGOVORU - PRUŽANJE USLUGE PRIJENOSA I PRIJEVOZA NAMJEŠTAJA, INVENTARA, OPREME I ARHIVSKE GRAĐE ZA POTREBE GRADSKE UPRAVE GRADA ZAGREBA</t>
  </si>
  <si>
    <t>13.02.2015.</t>
  </si>
  <si>
    <t>ANEKS UGOVORU - IZGRADNJA TELEKOMUNIKACIJSKIH INSTALACIJA U RADNIČKOJ CESTI OD ULICE KOLEDOVČINA DO ŽELJEZNIČKE PRUGE</t>
  </si>
  <si>
    <t>ANEKS UGOVORU - IZVOĐENJE GRAĐEVINSKO-OBRTNIČKIH RADOVA</t>
  </si>
  <si>
    <t>ANEKS UGOVORU - IZVOĐENJE PODOPOLAGAČKIH RADOVA</t>
  </si>
  <si>
    <t>ANEKS UGOVORU - IZGRADNJA KANALIZACIJSKE INSTALACIJE U RADNIČKOJ CESTI OD ULICE KOLEDOVČINA DO ŽELJEZNIČKE PRUGE</t>
  </si>
  <si>
    <t>ANEKS UGOVORU - PRUŽANJE OSTALIH POŠTANSKIH USLUGA, REG. BROJ 25/2013 OD 14.SIJEČNJA 2013.</t>
  </si>
  <si>
    <t>IV. ANEKS UGOVORU - ODRŽAVANJE POPLOČENJA PJEŠAČKO-KOLNIH PLOHA PJEŠAČKE ZONE UŽEG CENTRA GRADA ZAGREBA</t>
  </si>
  <si>
    <t>ANEKS UGOVORU - RADOVI NA IZGRADNJI ZAMJENSKIH TRAFOSTANICA I IZMJEŠTANJE I IZGRADNJA ELEKTROENRGETSKE MREŽE U SKLOPU REKONSTRUKCIJE 2.ETAPE RADNIČKE CESTE OD ULICE KOLEDOVČINA DO ŽELJEZNIČKE PRUGE</t>
  </si>
  <si>
    <t>IV. ANEKS UGOVORU - STRUČNI NADZOR NAD ODRŽAVANJEM POPLOČENJA PJEŠAČKO-KOLNIH PLOHA PJEŠAČKE ZONE UŽEG CENTRA GRADA ZAGREBA</t>
  </si>
  <si>
    <t>ANEKS UGOVORU - IZGRADNJA JAVNE RASVJETE U RADNIČKOJ CESTI OD ULICE KOLEDOVČINA DO ŽELJEZNIČKE PRUGE</t>
  </si>
  <si>
    <t>ANEKS UGOVORU - NABAVA NAMJEŠTAJA ZA BOLESNIČKE SOBE: 2. GRUPA: KREVETI OBIČNI, 3. GRUPA: KREVETI S OPREMOM</t>
  </si>
  <si>
    <t>ANEKS UGOVORU - ODRŽAVANJE I POPRAVCI NADSTREŠNICA</t>
  </si>
  <si>
    <t>ANEKS UGOVORU - NADZOR ZA ODRŽAVANJE NADSTREŠNICA</t>
  </si>
  <si>
    <t>07.07.2014.</t>
  </si>
  <si>
    <t>ANEKS UGOVORU - ADAPTACIJA OBJEKTA KLINIČKE BOLNICE SVETI DUH</t>
  </si>
  <si>
    <t>ANEKS UGOVORU - PRUŽANJE USLUGE TJELESNE ZAŠTITE OSOBA I IMOVINE U GRADSKIM JAVNIM USTANOVAMA KULTURE</t>
  </si>
  <si>
    <t>03.07.2014.</t>
  </si>
  <si>
    <t>ANEKS UGOVORU - IZRADA GLAVNIH I IZVEDBENIH PROJEKATA ZA IZGRADNJU POLUKRUŽNE ULICE SA SPOJEM NA VUKOVARSKU ULICU TE REKONSTUKCIJE DIJELA BRSEČKE ULICE NA PODRUČJU NASELJA VUKOMEREC</t>
  </si>
  <si>
    <t>ANEKS UGOVORU - IZRADA IDEJNOG PROJEKTA TARIFNOG SUSTAVA ZA INTEGRIRANI PRIJEVOZ</t>
  </si>
  <si>
    <t>ANEKS UGOVORU -IZRADA IDEJNOG PROJEKTA ORGANIZACIJE INTEGRIRANOG PUTNIČKOG PRIJEVOZA</t>
  </si>
  <si>
    <t>18.08.2014.</t>
  </si>
  <si>
    <t>18.04.2014.</t>
  </si>
  <si>
    <t>ANEKS UGOVORU - IZRADA TEHNIČKE DOKUMENTACIJE ZA MJERE ENERGETSKE OBNOVE OBJEKATA U OKVIRU PROJEKTA ZAGEE -1. FAZA</t>
  </si>
  <si>
    <t>20.02.2015.</t>
  </si>
  <si>
    <t>II. ANEKS UGOVORU - NABAVA SRCIŠTA I KRIŽALIŠTA ZA TRAMVAJSKE PRUGE</t>
  </si>
  <si>
    <t>II. ANEKS UGOVORU O NABAVI PREVODNIČKIH UREĐAJA</t>
  </si>
  <si>
    <t>07.10.2014.</t>
  </si>
  <si>
    <t>15.08.2014.</t>
  </si>
  <si>
    <t>ANEKS UGOVORU - III. GODIŠNJI UGOVOR - NABAVA USLUGA PODRŠKE I RAZVOJA INFORMACIJSKOG SUSTAVA GRADA ZAGREBA I PODRŠKA PRODUKCIJI DOKUMENATA</t>
  </si>
  <si>
    <t>IZVOĐENJE RADOVA NA TEKUĆEM ODRŽAVANJU OBJEKATA GRADSKE UPRAVE: GRUPA 2. PODOPOLAGAČKI RADOVI</t>
  </si>
  <si>
    <t>IZVOĐENJE RADOVA NA TEKUĆEM ODRŽAVANJU OBJEKATA GRADSKE UPRAVE:  GRUPA 1. GRAĐEVINSKO OBRTNIČKI RADOVI</t>
  </si>
  <si>
    <t>26.05.2014.</t>
  </si>
  <si>
    <t>ANEKS UGOVORU - SANACIJA KROVA OSNOVNE ŠKOLE VEĆESLAVA HOLJEVCA</t>
  </si>
  <si>
    <t>ANEKS UGOVORU - IZRADA ENERGETSKIH CERTIFIKATA ZA ZGRADE U VLASNIŠTVU GRADA ZAGREBA</t>
  </si>
  <si>
    <t>ANEKS UGOVORU - NABAVA NAMJEŠTAJA I OPREME - UČENIČKI DOM NOVI ZAGREB</t>
  </si>
  <si>
    <t>10.04.2014.</t>
  </si>
  <si>
    <t>ANEKS UGOVORU - IZGRADNJA CESTOVNE PROMETNICE S OBORINSKOM ODVODNJOM U RADNIČKOJ  CESTI OD ULICE KOLEDOVČINA DO ŽELJEZNIČKE PRUGE</t>
  </si>
  <si>
    <t>ANEKS UGOVORU - SANACIJA ULIČNOG PROČELJA I KROVA MESNIČKA 29</t>
  </si>
  <si>
    <t>II.ANEKS UGOVORU – RADOVI NA OPĆOJ RASVJETI - TEHNIČKI MUZEJ "HALA A"</t>
  </si>
  <si>
    <t>ANEKS UGOVORU - IZRADA TEHNIČKE DOKUMENTACIJE ZA PRIMJENU  OIE NA OBJEKTIMA U VLASNIŠTVU GRADA ZAGREBA (MJERA 2 IZ PROGRAMA ENERGETSKE UČINKOVITOSTI U NEPOSREDNOJ POTROŠNJI ENERGIJE)</t>
  </si>
  <si>
    <t>ANEKS UGOVORU - SANACIJA OSNOVNE DRVENE KONSTRUKCIJE- TEHNIČKI MUZEJ "HALA A" (II. FAZA)</t>
  </si>
  <si>
    <t>ANEKS UGOVORU - IZRADA TEHNIČKE DOKUMENTACIJE ZA MODERNIZACIJU KOTLOVNICE</t>
  </si>
  <si>
    <t>SANACIJA KROVA DV MARKUŠEVEC, PO BREŽOVANKA</t>
  </si>
  <si>
    <t>ANEKS UGOVORU - IZRADA GLAVNOG I IZVEDBENOG PROJEKTA ZA IZGRADNJU DESNOG SKRETAČA PRAŠKA-JURIŠIĆEVA I UREĐENJE JAVNO PROMETNE POVRŠINE</t>
  </si>
  <si>
    <t>ANEKS UGOVORU - IZRADA TEHNIČKE DOKUMENTACIJE ZA MODERNIZACIJU KOTLOVNICA (MJERA 6 IZ SEAP-A) - II. FAZA</t>
  </si>
  <si>
    <t>ANEKS UGOVORU - REKONSTRUKCIJA KUHINJE DOMA UMIROVLJENIKA DUBRAVA</t>
  </si>
  <si>
    <t>II. ANEKS UGOVORU - IZVOĐENJE GRAĐEVINSKO-OBRTNIČKIH RADOVA</t>
  </si>
  <si>
    <t>ANEKS UGOVORU - IZRADA TEHNIČKE DOKUMENTACIJE ZA MJERU 2 IZ PROGRAMA ENERGETSKE UČINKOVITOSTI U NEPOSREDNOJ POTROŠNJI ENERGIJE ZA GRAD ZAGREB - TEHNIČKA DOKUMENTACIJA ZA POSTAVU FOTONAPONSKIH SUSTAVA NA OBJEKTIMA GRADSKE UPRAVE (II. FAZA)</t>
  </si>
  <si>
    <t>16.04.2014.</t>
  </si>
  <si>
    <t>USLUGA OBRAZOVANJA ODRASLIH SUDIONIKA JAVNIH RADNIH AKTIVNOSTI</t>
  </si>
  <si>
    <t>21.11.2014.</t>
  </si>
  <si>
    <t>ANEKS UGOVORU - OBAVLJANJE POSLOVA ELEKTROPRIKLJUČENJA, OPREMANJA, ODRŽAVANJA I UPRAVLJANJA PRIKLJUČNIM MJESTIMA ZA JAVNE MANIFESTACIJE NA PODRUČJU GRADA ZAGREBA</t>
  </si>
  <si>
    <t>ANEKS UGOVORU - SANACIJA KROVA OŠ ANTUNA BRANKA ŠIMIĆA</t>
  </si>
  <si>
    <t>17.12.2014.</t>
  </si>
  <si>
    <t>05.04.2014.</t>
  </si>
  <si>
    <t>ANEKS UGOVORU - IZMJENA PROZORA, UREĐENJE TERASE I ULAZA U DJEČJI VRTIĆ RAZLIČAK, PODREBERNICA 15</t>
  </si>
  <si>
    <t>26.01.2015.</t>
  </si>
  <si>
    <t>ANEKS UGOVORU - IZRADA  TEHNIČKE DOKUMENTACIJE ZA POSTAVU FOTONAPONSKIH SUSTAVA</t>
  </si>
  <si>
    <t>ANEKS UGOVORU - UGRADNJA FOTONAPONSKOG SUSTAVA NA ZGRADAMA GRADSKE UPRAVE - II FAZA</t>
  </si>
  <si>
    <t>NABAVA I UGRADNJA PLOČA ZA OZNAČAVANJE IMENA ULICA I TRGOVA</t>
  </si>
  <si>
    <t>16.12.2014.</t>
  </si>
  <si>
    <t>II. ANEKS UGOVORU - OBNOVA PROČELJA I KROVA - MLETAČKA 5</t>
  </si>
  <si>
    <t>NABAVA DODATNIH OBVEZNIH UDŽBENIKA ZA UČENIKE OSNOVNIH ŠKOLA GRADA ZAGREBA - NAKLADNIK - ŠKOLSKA KNJIGA D.D.</t>
  </si>
  <si>
    <t>19.05.2014.</t>
  </si>
  <si>
    <t>IZGRADNJA ULICE 1 I ULICE 2 NA KAJZERICI</t>
  </si>
  <si>
    <t>GODIŠNJI UGOVOR - ODRŽAVANJE I NADOGRADNJA „ILOCK", „FAX INTEGRATION POINT" (FIP) I „E-REDAR" SUSTAVA</t>
  </si>
  <si>
    <t>IZRADA TEHNIČKE DOKUMENTACIJE ZA UREĐENJE PROSTORA UZ ULICU HRVATSKE BRATSKE ZAJEDNICE - II FAZA</t>
  </si>
  <si>
    <t>DODATNI RADOVI NA IZGRADNJI CESTOVNE PROMETNICE S OBORINSKOM ODVODNJOM U RADNIČKOJ CESTI OD ULICE KOLEDOVČINA DO ŽELJEZNIČKE PRUGE</t>
  </si>
  <si>
    <t>GODIŠNJI UGOVOR - ODRŽAVANJE I NADOGRADNJA SUSTAVA ZA POSLOVANJE „CENTRIX"</t>
  </si>
  <si>
    <t>II. ANEKS UGOVORA - STRUČNI  NADZOR NAD PREMJEŠTANJEM I ZAŠTITOM POSTOJEĆIH EEN INSTALACIJA ZA POTREBE IZGRADNJE CESTA I CESTOVNIH OBJEKATA</t>
  </si>
  <si>
    <t>ANEKS UGOVORU - NABAVA STOMATOLOŠKIH JEDINICA: 1. GRUPA: STOMATOLOŠKE JEDINICE ZA POTREBE DOMOVA ZDRAVLJA, 2. GRUPA: STOMATOLOŠKE JEDINICE ZA POTREBE POLIKLINIKE</t>
  </si>
  <si>
    <t>DODATNI RADOVI NA V. ETAPI IZGRADNJE OBJEKTA DOBROVOLJNOG VATROGASNOG DRUŠTVA I MJESNE SAMOUPRAVE VRAPČE - JUG</t>
  </si>
  <si>
    <t>NABAVA LICENCI ZA KORIŠTENJE MICROSOFTOVIH SOFTVERSKIH PROIZVODA I USLUGA</t>
  </si>
  <si>
    <t>ANEKS UGOVORU - STRUČNI NADZOR NAD SANACIJOM OSNOVNE DRVENE KONSTRUKCIJE "HALA A" TEHNIČKOG MUZEJA (II FAZA)</t>
  </si>
  <si>
    <t>ANEKS UGOVORU -  PROVEDBA MUZEJSKO-ISTRAŽIVAČKOG PROJEKTA ZAGREBAČKE INDUSTRIJSKE BAŠTINE</t>
  </si>
  <si>
    <t>NAKLADNIČKI SERVIS ZA IZRADU, TISKANJE I DISTRIBUCIJU PUBLIKACIJE ZAGREB.HR</t>
  </si>
  <si>
    <t>USLUGE BRAVARA PRI STUPANJU U POSJED STANA, POSLOVNOG PROSTORA SA PROTUPROVALNIM VRATIMA ILI BRAVOM TE U POSTUPKU PROVOĐENJA OVRHE RADI PREDAJE ZEMLJIŠTA U POSJED GRADU ZAGREBU</t>
  </si>
  <si>
    <t>IZGRADNJA VODOOPSKRBNOG CJEVOVODA U ULICI 2 NA KAJZERICI</t>
  </si>
  <si>
    <t>II. ANEKS UGOVORU - IZVOĐENJE RADOVA NA PREMJEŠTANJU I ZAŠTITI POSTOJEĆIH EE INSTALACIJA ZA POTREBE IZGRADNJE CESTA I CESTOVNIH OBJEKATA</t>
  </si>
  <si>
    <t>DODATNI RADOVI NA UREĐENJU PROČELJA ZGRADE MLETAČKA 5</t>
  </si>
  <si>
    <t>ANEKS UGOVORU - PRUŽANJE USLUGE ZAŠTITE OBJEKATA PUTEM CENTRALNOG DOJAVNOG SUSTAVA -B)OSNOVNE ŠKOLE</t>
  </si>
  <si>
    <t>ANEKS UGOVORU - PRUŽANJE USLUGA ZAŠTITE OBJEKATA PUTEM CENTRALNOG DOJAVNOG SUSTAVA - C) SREDNJE ŠKOLE I UČENIČKI DOMOVI</t>
  </si>
  <si>
    <t>ANEKS UGOVORU - PRUŽANJE USLUGA ZAŠTITE OBJEKATA PUTEM CENTRALNOG DOJAVNOG SUSTAVA - A) DJEČJI VRTIĆI</t>
  </si>
  <si>
    <t>KIPARSKO RESTAURATORSKI RADOVI I REKONSTRUKCIJA PROFILIRANIH ELEMENATA ULIČNOG PROČELJA ĐORĐIĆEVA 3</t>
  </si>
  <si>
    <t>STRUČNI I GEODETSKI NADZOR NAD REKONSTRUKCIJOM MESNIČKE, STRELJAČKE I DIJELA  ULICE BREZOVAČKOG</t>
  </si>
  <si>
    <t>REKONSTUKCIJA MESNIČKE, STRELJAČKE I DIJELA ULICE BREZOVAČKOG</t>
  </si>
  <si>
    <t>REZERVNI DIJELOVI PRIKLJUČNE OPREME SPECIJALNIH RADNIH STROJEVA PROIZVOĐAČA SCHMIDT</t>
  </si>
  <si>
    <t>Grad Zagreb je proveo postupak kao središnje tijelo javne nabave</t>
  </si>
  <si>
    <t>ELEKTRO VOZILA ZA PRIJEVOZ POKOJNIKA I GRAĐANA</t>
  </si>
  <si>
    <t>REKONSTRUKCIJA VODOOPSKRBNE MREŽE U MESNIČKOJ ULICI</t>
  </si>
  <si>
    <t>IZGRADNJA NISKOTLAČNOG PLINOVODA GORNJI GRAD - MESNIČKA - BREZOVAČKOG</t>
  </si>
  <si>
    <t>30.12.2014.</t>
  </si>
  <si>
    <t>POJEDINAČNI UGOVOR - USLUGA PREVENTIVNE I OBVEZNE PREVENTIVNE DEZINSEKCIJE KOMARACA NA PODRUČJU GRADA ZAGREBA</t>
  </si>
  <si>
    <t>SISTEMATSKI PREGLED</t>
  </si>
  <si>
    <t>RADOVI NA ODRŽAVANJU TRAMVAJSKE PRUGE - SARAJEVSKA CESTA</t>
  </si>
  <si>
    <t>RADOVI NA POPRAVKU TRAMVAJSKIH PRUGA - RASKRIŽJE MAKSIMIRSKE I MANDLOVE ULICE</t>
  </si>
  <si>
    <t>06.11.2014.</t>
  </si>
  <si>
    <t>RADOVI NA UREĐENJU PARKIRALIŠTA KOD KB "DR. FRAN MIHALJEVIĆ"</t>
  </si>
  <si>
    <t>IZRADA ENERGETSKIH PREGLEDA I CERTIFIKACIJA - I FAZA</t>
  </si>
  <si>
    <t>MJERENJA I PRAĆENJA KVALITETE ZRAKA NA GRADSKIM MJERNIM POSTAJAMA U 2014.</t>
  </si>
  <si>
    <t>31.03.2015.</t>
  </si>
  <si>
    <t>ANEKS UGOVORU - KAMENARSKI RADOVI NA REKONSTRUKIJI DIJELA ULICA: BAKAČEVE, CESARČEVE, KURELČEVE ULICE I STARE VLAŠKE</t>
  </si>
  <si>
    <t>RADOVI NA ODRŽAVANJU TRAMVAJSKE PRUGE - ULICA GRADA VUKOVARA OD KRUGA DO IZA RASKRIŽJA S MIRAMARSKOM CESTOM</t>
  </si>
  <si>
    <t>NAJAM FOTOKOPIRNIH STROJEVA</t>
  </si>
  <si>
    <t>ANEKS UGOVORU - GODIŠNJI UGOVOR - NABAVA TELEKOMUNIKACIJSKIH USLUGA U MOBILNOJ TELEFONIJI</t>
  </si>
  <si>
    <t>POPRAVAK I REZERVNI DIJELOVI SUSTAVA ZA REGISTRACIJU DOGAĐAJA ZA TRAMVAJE TIPA TMK 301</t>
  </si>
  <si>
    <t>RADOVI NA POPRAVKU TRAMVAJSKIH PRUGA - RASKRIŽJE BRANIMIROVE I DRAŠKOVIĆEVE ULICE</t>
  </si>
  <si>
    <t>REZERVNI DIJELOVI ZA VODOMJERE MARKE IKOM</t>
  </si>
  <si>
    <t>PRIJEVOZ I UNIŠTAVANJE ŽIVOTINJSKIH LEŠINA I NUSPROIZVODA ŽIVOTINJSKOG PODRIJETLA</t>
  </si>
  <si>
    <t>ODRŽAVANJE PROGRAMSKE OPREME GRUPA A: ODRŽAVANJE ESRI PROGRAMSKIH ALATA</t>
  </si>
  <si>
    <t>PRIPREMA, IZRADA I KONVERZIJA KARTOGRAFSKIH PRIKAZA IZMJENA I DOPUNA GENERALNOG URBANISTIČKOG PLANA GRADA ZAGREBA I SESVETA</t>
  </si>
  <si>
    <t>SANACIJA KROVA DJEČJEG VRTIĆA POLETARAC</t>
  </si>
  <si>
    <t>21.10.2014.</t>
  </si>
  <si>
    <t>ANEKS UGOVORU - IZMJENA PROZORA NA ULIČNOJ STRANI NA OBJEKTU UČENIČKOG DOMA MARIJE JAMBRIŠAK, OPATIČKA ULICA 14</t>
  </si>
  <si>
    <t>DODATNI GRAĐEVINSKO OBRTNIČKI RADOVI NA KANONIČKOM DVORU KAPTOL 23</t>
  </si>
  <si>
    <t>09.09.2014.</t>
  </si>
  <si>
    <t>DODATNI RADOVI NA SANACIJI ULIČNOG PROČELJA ZGRADE BOŠKOVIĆEVA 23</t>
  </si>
  <si>
    <t>USLUGE KONTROLNIH ISPITIVANJA MATERIJALA U MESNIČKOJ I STRELJAČKOJ ULICI</t>
  </si>
  <si>
    <t>POPRAVAK HLADNJAKA AUTOBUSA</t>
  </si>
  <si>
    <t>REZERVNI DIJELOVI I POPRAVAK SUSTAVA ZA SIPANJE PIJESKA TIPA SAS ZA TMK 301</t>
  </si>
  <si>
    <t>SREDSTVA ZA ZAŠTITU BILJA</t>
  </si>
  <si>
    <t>GEODETSKI NADZOR NAD DODATNIM RADOVIMA NA IZGRADNJI RADNIČKE CESTE OD ULICE KOLEDOVČINA DO ŽELJEZNIČKE PRUGE</t>
  </si>
  <si>
    <t>KOMUNALNO VOZILO ZA PRIKUPLJANJE I ODVOZ KOMUNALNOG OTPADA NA GRADSKIM GROBLJIMA</t>
  </si>
  <si>
    <t>ANEKS UGOVORU - NABAVA USLUGE CATERINGA ZA POTREBE GRADSKE SKUPŠTINE GRADA ZAGREBA</t>
  </si>
  <si>
    <t>ANEKS UGOVORU - ENERGETSKI INFORMACIJSKI SUSTAV, II FAZA</t>
  </si>
  <si>
    <t>GODIŠNJI UGOVOR - NABAVA USLUGE ODRŽAVANJA UREĐAJA I POSTROJENJA U OBJEKTIMA GRADSKE UPRAVE: 2. GRUPA-ODRŽAVANJE DIZALA</t>
  </si>
  <si>
    <t>II. ANEKS UGOVORU - IZRADA TEHNIČKE DOKUMENTACIJE ZA MJERE ENERGETSKE OBNOVE OBJEKATA U OKVIRU PROJEKTA ZAGEE -1. FAZA</t>
  </si>
  <si>
    <t>GODIŠNJI UGOVOR ZA NABAVU LICENCI ZA KORIŠTENJE MICROSOFTOVIH SOFTVERSKIH PROIZVODA I USLUGA</t>
  </si>
  <si>
    <t>DODATNI RADOVI NA IZGRADNJI ŠKOLE KAJZERICA</t>
  </si>
  <si>
    <t>ANEKS UGOVORU - REKONSTRUKCIJA DIJELA STROJARSKE CESTE OD ODVOJKA OZNAKE C3 DO NOVE PROMETNICE OZNAKE C2 I IZGRADNJA ODVOJKA S KOMUNALNOM INFRASTRUKTUROM</t>
  </si>
  <si>
    <t>ZAMJENA DOTRAJALE OPREME U TOPLINSKOJ STANICI I UREĐENJE VENTILACIJE KUHINJE  DJEČJEG VRTIĆA VRBIK</t>
  </si>
  <si>
    <t>DODATNI RADOVI NA SANACIJI PROČELJA I KROVA STAMBENE ZGRADE BERISLAVIĆEVA 7</t>
  </si>
  <si>
    <t>KRAJOBRAZNO UREĐENJE ZELENIH POVRŠINA NA PODRUČJU GRADA ZAGREBA</t>
  </si>
  <si>
    <t>RADOVI NA SEMAFORIZACIJI U SKLOPU PROJEKTA REKONSTRUKCIJE ULICE SAVEZNE REPUBLIKE NJEMAČKE I RASKRIŽJA SA SJEVERNIM PRILAZOM NA AUTOCESTU, TE IZGRADNJU NOVE ULICE 1 SA KOMUNALNOM INFRASTRUKTUROM</t>
  </si>
  <si>
    <t>DODATNI GRAĐEVINSKO-OBRTNIČKI RADOVI NA OBNOVI PROČELJA I KROVA STAMBENE ZGRADE RADIĆEVA 56</t>
  </si>
  <si>
    <t>ANEKS UGOVORU - SANACIJA KROVIŠTA DJEČJEG VRTIĆA GAJNICE, PODRUČNI ODJEL PERUANSKA</t>
  </si>
  <si>
    <t>DODATNI  RADOVI NA UREĐENJU ULIČNOG PROČELJA ZGRADE SVAČIĆEV TRG 17 - PRERADOVIĆEVA 44</t>
  </si>
  <si>
    <t>IZGRADNJA PRELJEVNOG OBJEKTA RAVNICE</t>
  </si>
  <si>
    <t>USLUGA LJETOVANJA DJECE SOCIJALNO UGROŽENIH OBITELJI: 5.GRUPA SAVUDRIJA</t>
  </si>
  <si>
    <t>USLUGA LJETOVANJA DJECE SOCIJALNO UGROŽENIH OBITELJI: 4.GRUPA SKRADIN</t>
  </si>
  <si>
    <t>USLUGA LJETOVANJA DJECE SOCIJALNO UGROŽENIH OBITELJI: 3.GRUPA  DUGA UVALA</t>
  </si>
  <si>
    <t>26.08.2014.</t>
  </si>
  <si>
    <t>USLUGA LJETOVANJA DJECE SOCIJALNO UGROŽENIH OBITELJI: 2.GRUPA VELI LOŠINJ</t>
  </si>
  <si>
    <t>17.09.2014.</t>
  </si>
  <si>
    <t>USLUGA LJETOVANJA DJECE SOCIJALNO UGROŽENIH OBITELJI: 1.GRUPA CRIKVENICA</t>
  </si>
  <si>
    <t>MESO I MESNE PRERAĐEVINE - GRUPA 2. SVJEŽE MESO PILETINA I PURETINA</t>
  </si>
  <si>
    <t>ANEKS UGOVORU - IZRADA TEHNIČKE DOKUMENTACIJE ZA MJERE ENERGETSKE OBNOVE OBJEKATA U OKVIRU PROJEKTA ZAGEE -5. FAZA</t>
  </si>
  <si>
    <t>USLUGA PRAĆENJA KVALITETE ZRAKA NA ODLAGALIŠTU OTPADA JAKUŠEVEC</t>
  </si>
  <si>
    <t>GRAĐENJE JAVNE RASVJETE U AVENIJI VEĆESLAVA HOLJEVCA I RASKRIŽJE S AUTOCESTOM BUZINSKI KRČ</t>
  </si>
  <si>
    <t>USLUGE POPRAVAKA I ODRŽAVANJA INFORMATIČKE I KOMUNIKACIJSKE OPREME</t>
  </si>
  <si>
    <t>USLUGA LJETOVANJA DJECE HRVATSKIH BRANITELJA NA SJEVERNOM JADRANU</t>
  </si>
  <si>
    <t>IZVOĐENJE RADOVA NA UREĐENJU PROMETNICA S ODVODNJOM NA PODRUČJU GRADSKIH ČETVRTI - PODSLJEME, GORNJA DUBRAVA, MAKSIMIR, GORNJI GRAD - MEDVEŠČAK I DONJI GRAD</t>
  </si>
  <si>
    <t>IZVOĐENJE RADOVA NA UREĐENJU PROMETNICA S ODVODNJOM NA PODRUČJU GRADSKIH ČETVRTI - PODSUSED - VRAPČE, STENJEVEC, ČRNOMEREC I TREŠNJEVKA SJEVER</t>
  </si>
  <si>
    <t>GODIŠNJI UGOVOR - NABAVA PREHRAMBENIH ARTIKALA ZA POTREBE DJEČJIH VRTIĆA GRADA ZAGREBA (NABAVA I ISPORUKA SVJEŽIH KOKOŠJIH JAJA) GRUPA 4.: ZONA 4 - PEŠĆENICA-ŽITNJAK, NOVI ZAGREB ISTOK, NOVI ZAGREB ZAPAD, BREZOVICA</t>
  </si>
  <si>
    <t>GODIŠNJI UGOVOR - NABAVA PREHRAMBENIH ARTIKALA ZA POTREBE DJEČJIH VRTIĆA GRADA ZAGREBA (NABAVA I ISPORUKA SVJEŽIH KOKOŠJIH JAJA) GRUPA 3.: ZONA 3 - TRNJE, TREŠNJEVKA SJEVER, TREŠNJEVKA JUG, STENJEVEC</t>
  </si>
  <si>
    <t>GODIŠNJI UGOVOR - NABAVA PREHRAMBENIH ARTIKALA ZA POTREBE DJEČJIH VRTIĆA GRADA ZAGREBA (NABAVA I ISPORUKA SVJEŽIH KOKOŠJIH JAJA) GRUPA 2.: ZONA 2 - SESVETE, GORNJA DUBRAVA, DONJA DUBRAVA, PODSLJEME</t>
  </si>
  <si>
    <t>GODIŠNJI UGOVOR - NABAVA PREHRAMBENIH ARTIKALA ZA POTREBE DJEČJIH VRTIĆA GRADA ZAGREBA (NABAVA I ISPORUKA SVJEŽIH KOKOŠJIH JAJA) GRUPA 1.: ZONA 1 - MAKSIMIR, GORNJI GRAD-MEDVEŠČAK, DONJI GRAD, ČRNOMEREC, PODSUSED- VRAPČE</t>
  </si>
  <si>
    <t>IZRADA TEHNIČKE DOKUMENTACIJE ZA MJERE ENERGETSKE OBNOVE OBJEKATA U OKVIRU PROJEKTA ZAGEE -9. FAZA</t>
  </si>
  <si>
    <t>ANEKS UGOVORU - UGRADNJA SOLARNIH KOLEKTORA ZA PTV NA GRADSKIM OBJEKTIMA - II FAZA</t>
  </si>
  <si>
    <t>USLUGA LJETOVANJA OSOBA S INVALIDITETOM</t>
  </si>
  <si>
    <t>ANEKS UGOVORU - IZRADA STUDIJE "PROJEKCIJE I SCENARIJI GOSPODARSKOG RAZVOJA GRADA ZAGREBA ZA POTREBE RAZVOJNE STRATEGIJE / ZAGREBPLANA ZA RAZDOBLJE 2014. - 2020."-2. FAZA</t>
  </si>
  <si>
    <t>RAZNI UREDSKI POTROŠNI MATERIJAL</t>
  </si>
  <si>
    <t>OPREMANJE OSNOVNE ŠKOLE PAVLEKA MIŠKINE</t>
  </si>
  <si>
    <t>UREĐENJE VODOVODNE ULICE S KOMUNALNOM INFRASTRUKTUROM</t>
  </si>
  <si>
    <t>IZVOĐENJE RADOVA NA UREĐENJU PROMETNICA S ODVODNJOM NA PODRUČJU GRADSKIH ČETVRTI - SESVETE, PEŠČENICA, DONJA DUBRAVA</t>
  </si>
  <si>
    <t>STRUČNI NADZOR NAD DODATNIM RADOVIMA NA IZGRADNJI RADNIČKE CESTE OD ULICE KOLEDOVČINA DO ŽELJEZNIČKE PRUGE</t>
  </si>
  <si>
    <t>ANEKS UGOVORU - SANACIJA KANALIZACIJE I UREĐENJE SVLAČIONICA, III. GIMNAZIJA</t>
  </si>
  <si>
    <t>LEŽAJ AKSIJALNI ZGLOBA ZA TMK 2100</t>
  </si>
  <si>
    <t>MESO I MESNE PRERAĐEVINE - GRUPA 4. MESNI PROIZVODI OD PUREĆEG I PILEĆEG MESA</t>
  </si>
  <si>
    <t>IZRADA ENERGETSKIH PREGLEDA I CERTIFIKACIJA - II FAZA</t>
  </si>
  <si>
    <t>TRAVNE SMJESE</t>
  </si>
  <si>
    <t>ODRŽAVANJE I NADOGRADNJA APLIKATIVNIH RJEŠENJA: MATICE ŠKOLA, PLAĆE VRTIĆA, SUSTAV ZA PODRŠKU PROGRAMIMA POTICANJA OBRTA, EVIDENCIJA IMOVINE U VLASNIŠTVU GRADA ZAGREBA I CENTRALIZIRANA NABAVA</t>
  </si>
  <si>
    <t>NABAVA OPREME ZA INSTALIRANJE SIGNALIZATORA ZA SLIJEPE I SLABOVIDNE OSOBE</t>
  </si>
  <si>
    <t>ANEKS UGOVORU - IZGRADNJA PRELJEVNOG OBJEKTA RAVNICE</t>
  </si>
  <si>
    <t>IZMJENA I DOPUNA PROJEKTNE DOKUMENTACIJE ZA GRADNJU ODGOJNO OBRAZOVNOG KOMPLEKSA KAJZERICA</t>
  </si>
  <si>
    <t>PLIN ZA KLIMA UREĐAJE U VOZILIMA</t>
  </si>
  <si>
    <t>KONTEJNERI ZA IZDVOJENO SAKUPLJANJE OTPADA, GRUPA 1. - KONTEJNERI ZA IZDVOJENO SAKUPLJANJE PAPIRNATOG OTPADA</t>
  </si>
  <si>
    <t>KONTEJNERI ZA IZDVOJENO SAKUPLJANJE OTPADA, GRUPA 2. - KONTEJNERI ZA IZDVOJENO SAKUPLJANJE STAKLA</t>
  </si>
  <si>
    <t>KONTEJNERI ZA IZDVOJENO SAKUPLJANJE OTPADA, GRUPA 3. - KONTEJNERI ZA IZDVOJENO SAKUPLJANJE PET OTPADA</t>
  </si>
  <si>
    <t>KONTEJNERI ZA IZDVOJENO SAKUPLJANJE OTPADA, GRUPA 5. - KONTEJNERI METALNI 1100 L VRUĆE CINČANI</t>
  </si>
  <si>
    <t>KONTEJNERI ZA IZDVOJENO SAKUPLJANJE OTPADA, GRUPA 6. - KONTEJNERI PLASTIČNI 1100 LITARA</t>
  </si>
  <si>
    <t>ANEKS UGOVORU - PRUŽANJE USLUGA OGLAŠAVANJA INFORMACIJA I PORUKA GRAĐANIMA, ČESTITKI, APELA I DRUGIH SADRŽAJA</t>
  </si>
  <si>
    <t>ANEKS UGOVORA O IZGRADNJI NISKOTLAČNOG PLINOVODA GORNJI GRAD - MESNIČKA - BREZOVAČKOG</t>
  </si>
  <si>
    <t>DODATNI RADOVI NA IZGRADNJI PAROVODA I PRODUKTOVODA U RADNIČKOJ CESTI OD ULICE KOLEDOVČINA DO ŽELJEZNIČKE PRUGE</t>
  </si>
  <si>
    <t>DIJELOVI GRIJAČA MARKE WEBASTO ZA VOZILA</t>
  </si>
  <si>
    <t>ODRŽAVANJE APLIKATIVNOG SUSTAVA "CARPIO"</t>
  </si>
  <si>
    <t>REDOVNO ODRŽAVANJE, POPRAVAK I REZERVNI DIJELOVI PARKIRNIH SUSTAVA PROIZVOĐAČA SIEMENS</t>
  </si>
  <si>
    <t>ANEKS UGOVORA O REKONSTRUKCIJI VODOOPSKRBNE MREŽE U MESNIČKOJ ULICI</t>
  </si>
  <si>
    <t>DODATNI RADOVI NA RASVJETI CENTRALNOG DIJELA TEHNIČKOG MUZEJA-HALA A</t>
  </si>
  <si>
    <t>USLUGA BOLNIČKOG LIJEČENJA MEDICINSKOM REHABILITACIJOM HRVI-A IZ DOMOVINSKOG RATA 1. GRUPA: SKUPINA I-PREVENCIJA REHABILITACIJA I SANACIJA LOKOMOTORNOG I KRVOŽILNOG SUSTAVA</t>
  </si>
  <si>
    <t>30.03.2015.</t>
  </si>
  <si>
    <t>IZVOĐENJE DODATNIH RADOVA NA IZGRADNJI I REKONSTRUKCIJI DIJELA CENKOVEČKE ULICE ZA POTREBE IZGRADNJE OBJEKTA VRBANI K7-1</t>
  </si>
  <si>
    <t>DODATNI GRAĐEVINSKI RADOVI NA REKONSTRUKCIJI ZONE BAKAČEVA - CESRAČEVA - KURELČEVA I STARA VLAŠKA</t>
  </si>
  <si>
    <t>KONTAKTNI VODIČ AC 100</t>
  </si>
  <si>
    <t>UKLANJANJE GRAĐEVINA NA TRASI IZGRADNJE BRANIMIROVE ULICE OD ZAVRTNICE DO HEINZELOVE</t>
  </si>
  <si>
    <t>OBAVLJANJE POSLOVA ELEKTROPRIKLJUČENJA, OPREMANJA, ODRŽAVANJA I UPRAVLJANJA PRIKLJUČNIM MJESTIMA ZA JAVNE MANIFESTACIJE NA PODRUČJU GRADA ZAGREBA</t>
  </si>
  <si>
    <t>MESO I MESNE PRERAĐEVINE - GRUPA 1. SVJEŽE MESO, SVINJETINA, JUNETINA I TELETINA</t>
  </si>
  <si>
    <t>II. ANEKS UGOVORU - NABAVA I UGRADNJA PLOČICA ZA OZNAČAVANJE ZGRADA BROJEVIMA</t>
  </si>
  <si>
    <t>ANEKS UGOVORU - IZRADA TEHNIČKE DOKUMENTACIJE ZA MJERE ENERGETSKE OBNOVE OBJEKATA U OKVIRU PROJEKTA ZAGEE -3. FAZA</t>
  </si>
  <si>
    <t>ANEKS UGOVORAU - IZRADA TEHNIČKE DOKUMENTACIJE ZA MJERE ENERGETSKE OBNOVE OBJEKATA U OKVIRU PROJEKTA ZAGEE -2. FAZA</t>
  </si>
  <si>
    <t>III: ANEKS UGVORU - IZRADA PROJEKTNE DOKUMENTACIJE ZA GRADNJU VODOOPSKRBNOG CJEVOVODA U ULICAMA: A. ARBANASA I. ODVOJAK 7-12, A. ARBANASA I. ODVOJAK OD KBR. 12 DO K.Č. 3644/2,  ULICA SV. IZIDORA 9-9F, SALJSKA, F. MALNARA IX. ODVOJAK, SISAČKA CESTA II. ODVOJAK, ČAVOGLAVSKA,POSEDARSKA, BURIĆEVA, SINJSKA I LUKORANSKA.</t>
  </si>
  <si>
    <t>REZERVNI DIJELOVI I POPRAVAK SUSTAVA ZA ELEKTRIČNO NAPAJANJE KLIMA UREĐAJA U KABINI VOZAČA TMK 301</t>
  </si>
  <si>
    <t>III. ANEKS UGOVORU - IZRADA PROJEKTNE DOKUMENTACIJE ZA GRADNJU JAVNOG KANALA U ZADVORSKOM: KAŠINCI, ZADVORSKA, KRUŽNA, PEKARSKA; U DESPRIMU: DESPRIMSKA, DREŽNIK, RAVNA; ODRANSKOM STRMCU: ČRNILO I STRMEČKA CESTA</t>
  </si>
  <si>
    <t>SPECIJALNO VOZILO ZA PRIJEVOZ PRESS KONTEJNERA I ROLLO KONTEJNERA ZAPREMINE DO 32 M3, ROLLO KIPER U TANDEMU SA PRIKOLICOM PUTEM FINANCIJSKOG LEASINGA</t>
  </si>
  <si>
    <t>221.790,65 EUR, plaćanje se vrši po srednjem tečaju EUR - a Hrvatske narodne banke na dan plaćanja fakture</t>
  </si>
  <si>
    <t>ANEKS UGOVORU - PRIŽANJE USLUGA TJELESNE ZAŠTITE IMOVINE STANOVA, POSLOVNIH PROSTORA I KOMPLEKSA</t>
  </si>
  <si>
    <t>NISKOPODNI MINI AUTOBUSI S PRIRODNIM PLINOM KAO POGONSKIM GORIVOM PUTEM FINANCIJSKOG LEASINGA</t>
  </si>
  <si>
    <t>2.015.756,48 EUR, plaćanje se vrši po srednjem tečaju EUR - a Hrvatske narodne banke na dan plaćanja fakture</t>
  </si>
  <si>
    <t>ANEKS UGOVORU - IZRADA POSEBNE GEODETSKE PODLOGE I TEHNIČKE DOKUMENTACIJE ZA LEGALIZACIJU SPORTSKIH ŽIČARA I AKUMULACIJSKIH JEZERA NA SLJEMENU</t>
  </si>
  <si>
    <t>MESO I MESNE PRERAĐEVINE - GRUPA 3. OSTALI MESNI PROIZVODI</t>
  </si>
  <si>
    <t>IZRADA I UGRADNJA PLOČICA ZA OZNAČAVANJE ZGRADA BROJEVIMA</t>
  </si>
  <si>
    <t>TEHNIČKI PLINOVI</t>
  </si>
  <si>
    <t>STRUČNI NADZOR NAD RADOVIMA NA DISTRIBUCIJSKOM SUSTAVU GRADSKE PLINARE ZAGREB</t>
  </si>
  <si>
    <t>POPRAVAK I REZERVNI DIJELOVI SUSTAVA VIDEONADZORA TMK 301</t>
  </si>
  <si>
    <t>GODIŠNJI UGOVOR ZA USLUGE POPRAVAKA I ODRŽAVANJA INFORMATIČKE I KOMUNIKACIJSKE OPREME</t>
  </si>
  <si>
    <t>OPREMANJE OBJEKTA I KUHINJE DJEČJEG VRTIĆA KAJZERICA</t>
  </si>
  <si>
    <t>OPREMANJE OBJEKTA ŠKOLE KAJZERICA (OSNOVNA I SREDNJA ŠKOLA)</t>
  </si>
  <si>
    <t>29.12.2014.</t>
  </si>
  <si>
    <t>USLUGA BOLNIČKOG LIJEČENJA MEDICINSKOM REHABILITACIJOM HRVI-A IZ DOMOVINSKOG RATA 2. GRUPA: SKUPINA II-REUMATSKA OBOLJENJA, KOŽNE BOLESTI, BOLESTI KRVNIH ŽILA I PERIFERNIH ŽIVACA</t>
  </si>
  <si>
    <t>13.01.2015.</t>
  </si>
  <si>
    <t>USLUGA BOLNIČKOG LIJEČENJA MEDICINSKOM REHABILITACIJOM HRVI-A IZ DOMOVINSKOG RATA 3. GRUPA: SKUPINA III- HRVI I. SKUPIINE SA 100% TJELESNOG OŠTEĆENJA S PRATITELJEM</t>
  </si>
  <si>
    <t>21.01.2015.</t>
  </si>
  <si>
    <t>ČIŠĆENJE ODVODNIH INSTALACIJA, SEPTIČKIH JAMA, TE DETEKCIJA KVAROVA</t>
  </si>
  <si>
    <t>ISTRAŽNI RADOVI U PARKU GRIČ</t>
  </si>
  <si>
    <t>POPRAVAK I REZERVNI DIJELOVI KLIMA UREĐAJA TMK 301</t>
  </si>
  <si>
    <t>UREĐAJ ZA PREBACIVANJE SKRETNICA CONTEC CSV 24-O-O-EH-M</t>
  </si>
  <si>
    <t>04.11.2014.</t>
  </si>
  <si>
    <t>NAJAM VOZILA PUTEM RENT-A CAR USLUGE</t>
  </si>
  <si>
    <t>28.02.2015.</t>
  </si>
  <si>
    <t>IZGRADNJA VODOOPSKRBNE MREŽE U NASELJU GLAVNICA DONJA</t>
  </si>
  <si>
    <t>UREĐAJ ZA DALJINSKO RADIJSKO OČITAVANJE PLINOMJERA</t>
  </si>
  <si>
    <t>USLUGE OBRAZOVANJA-STRANI JEZICI (GRUPNI I INDIVIDUALNI)</t>
  </si>
  <si>
    <t>USLUGE IZRADE VJEŠTAČKOG NALAZA ZA UTVRĐIVANJE TRŽIŠNE VRIJEDNOSTI STANOVA I ENERGETSKOG CERTIFIKATA ZA STANOVE U UPRAVLJANJU I STJECANJE STANOVA U KORIST, U IME I ZA RAČUN GRADA ZAGREBA</t>
  </si>
  <si>
    <t>GRAĐENJE JAVNE RASVJETE NA PODRUČJU GRADSKIH ČETVRTI PODSUSED - VRAPČE, ČRNOMEREC, GORNII GRAD - MEDVEŠČAK, DONJI GRAD I MAKSIMIR ZBOG POVEZIVANJA VEĆ IZGRAĐENIH DIJELOVA U CJELINU</t>
  </si>
  <si>
    <t>GRAĐENJE JAVNE RASVJETE NA PODRUČJU GRADSKIH ČETVRTI GORNJA DUBRAVA, DONJA DUBRAVA, PODSLJEME I SESVETE ZBOG POVEZIVANJA VEĆ IZGRAĐENIH DIJELOVA U CJELINU</t>
  </si>
  <si>
    <t>REKONSTRUKCIJA KARLOVAČKE CESTE</t>
  </si>
  <si>
    <t>POPRAVAK I REZERVNI DIJELOVI POSIPAČA SOLI MARKE PIETSCH</t>
  </si>
  <si>
    <t>CELULOZNA VLAKNA U GRANULAMA ZA IZRADU BITUMENSKIH MJEŠAVINA TIPA SMA</t>
  </si>
  <si>
    <t>FREKVENTNI PRETVARAČI</t>
  </si>
  <si>
    <t>USLUGE CATERINGA</t>
  </si>
  <si>
    <t>MREŽICE ZA PLINSKE SVJETILJKE</t>
  </si>
  <si>
    <t>IZGRADNJA VODOOPSKRBNE MREŽE U NASELJU BUZINSKI KRČI - RANŽIRNI KOLODVOR JUG I IZGRADNJA ODVODNJE FEKALNIH VODA PREMA PROJEKTU PROMETNE POVRŠINE - UPU BUZINSKI KRČI - RANŽIRNI KOLODVOR JUG</t>
  </si>
  <si>
    <t>RAZNI PREHRAMBENI PROIZVODI I PIĆA GRUPA 2 - RAZNI PREHRAMBENI PROIZVODI I PIĆA-ISPORUKA NA LOKACIJU KORISNIKA</t>
  </si>
  <si>
    <t>NAJAM VOZILA ZA POTREBE GRADSKOG UREDA ZA PROSTORNO UREĐENJE, IZGRADNJU GRADA, GRADITELJSTVO, KOMUNALNE POSLOVE I PROMET</t>
  </si>
  <si>
    <t>RADOVI NA REKONSTRUKCIJI VELEBITSKE (STRELJENČEVE) ULICE</t>
  </si>
  <si>
    <t>ODRŽAVANJE, POPRAVAK I PRIPREMA MJERILA MASE ZA OVJERAVANJE</t>
  </si>
  <si>
    <t>RESTORANSKE USLUGE</t>
  </si>
  <si>
    <t>III. ANEKS UGOVORU - OBNOVA PROČELJA I KROVA - MLETAČKA 5</t>
  </si>
  <si>
    <t>STOLARSKI RADOVI I POSTAVLJANJE STOLARIJE</t>
  </si>
  <si>
    <t>DENDRO BILJE GRUPA 4. - GRMLJE-CRNOGORICA</t>
  </si>
  <si>
    <t>ODRŽAVANJE JARBOLA ZA POSTAVLJANJE ZASTAVA NA JAVNIM POVRŠINAMA U GRADU ZAGREBU</t>
  </si>
  <si>
    <t>IZVOĐENJE DODATNIH RADOVA NA UREĐENJU PROMETNICA S ODVODNJOM NA PODRUČJU GRADSKIH ČETVRTI – SESVETE, PEŠČENICA I DONJA DUBRAVA</t>
  </si>
  <si>
    <t>USLUGE REDOVNOG I INTERVENTNOG ODRŽAVANJA KLIMATIZACIJSKE OPREME U OBJEKTIMA GRADSKE UPRAVE</t>
  </si>
  <si>
    <t>III. ANEKS UGOVORU - IZRADA PROJEKTNE DOKUMENTACIJE ZA GRADNJU JAVNOG KANALA U ULICAMA: BRANOVEČINA, BRANOVEČKA C., DUDAKI ŽUGLIĆI, FABIJANIĆEVA ODVOJAK KOD KBR. 10, KUNTIĆI, NOVAČKI ZAVOJ, PUKLEKI, RAKEKI OD KBR. 22, STRAŽNJIČKI PUT ODVOJAK 1. I 5., MARIJE SNJEŽNE-IŠTVANIĆI I ŽITNA</t>
  </si>
  <si>
    <t>SANACIJA I OBNOVA KULE KAMENITA VRATA</t>
  </si>
  <si>
    <t>PANTOGRAFI I DIJELOVI PANTOGRAFA ZA TRAMVAJE PROIZVOĐAČA STEMMANN TECHNIK</t>
  </si>
  <si>
    <t>IZVOĐENJE RADOVA NA UREĐENJU PROMETNICA S ODVODNJOM NA PODRUČJU GRADSKIH ČETVRTI - BREZOVICA, NOVI ZAGREB ZAPAD, NOVI ZAGREB ISTOK, TRNJE I TREŠNJEVKA JUG</t>
  </si>
  <si>
    <t>PROJEKT SANACIJE KLIZIŠTA NA CESTI MEDVEDGRAD-KRALJIČIN ZDENAC I NA BUS STAJALIŠTU 65</t>
  </si>
  <si>
    <t>BITUMENSKE EMULZIJE</t>
  </si>
  <si>
    <t>II ANEKS UGOVORU - DODATNI RADOVI NA IZGRADNJI BRANIMIROVE ULICE OD ZAVRTNICE DO HEINZELOVE S KOMUNALNOM INFRASTRUKTUROM - CESTOVNA PROMETNICA S KANALIZACIJOM</t>
  </si>
  <si>
    <t>KLIMA UREĐAJI</t>
  </si>
  <si>
    <t>NABAVA OBVEZNIH UDŽBENIKA ZA UČENIKE OSNOVNIH  ŠKOLA GRADA ZAGREBA -NAKLADNIK GLAS KONCILA</t>
  </si>
  <si>
    <t>REKONSTRUKCIJA NISKOTLAČNOG PLINOVODA SESVETE CENTAR - VI. ETAPA</t>
  </si>
  <si>
    <t>UREĐENJE STROJARSKE CESTE</t>
  </si>
  <si>
    <t>SREDSTVO ZA SMANJENJE EMISIJE ISPUŠNIH PLINOVA</t>
  </si>
  <si>
    <t>GODIŠNJI UGOVOR O NABAVI RAZNOG UREDSKOG POTROŠNOG MATERIJALA</t>
  </si>
  <si>
    <t>02.03.2015.</t>
  </si>
  <si>
    <t>IZGRADNJA VODOOPSKRBNE MREŽE U NASELJIMA DONJI I GORNJI DRAGONOŽEC, DONJI I GORNJI TRPUCI I MARKUŠEVEC TUROPOLJSKI</t>
  </si>
  <si>
    <t>IZVANREDNO ODRŽAVANJE ULICE MANTEROVČAK</t>
  </si>
  <si>
    <t>II. ANEKS UGOVORU - IZRADA TEHNIČKE DOKUMENTACIJE ZA MODERNIZACIJU KOTLOVNICA (MJERA 6 IZ SEAP-A) - II. FAZA</t>
  </si>
  <si>
    <t>OPREMA ZA ŠKOLU, DVORANU I BAZEN SREDNJE ŠKOLE NOVI JELKOVEC GRUPA 2. SPORTSKA OPREMA DVORANE, BAZENA I VANJSKIH TERENA</t>
  </si>
  <si>
    <t>OPREMA ZA ŠKOLU, DVORANU I BAZEN SREDNJE ŠKOLE NOVI JELKOVEC GRUPA 1. NAMJEŠTAJ I SITNI INVENTAR ŠKOLE, DVORANE BAZENA I  VANJSKIH TERENA</t>
  </si>
  <si>
    <t>NABAVA OBVEZNIH UDŽBENIKA ZA UČENIKE OSNOVNIH I SREDNJIH ŠKOLA  GRADA ZAGREBA - NAKLADNIK MERIDIJANI, IZDAVAČKA KUĆA</t>
  </si>
  <si>
    <t>IZGRADNJA ODVOJKA ULICE DONJE VRAPČE S KOMUNALNOM INFRASTRUKTUROM</t>
  </si>
  <si>
    <t>IZGRADNJA KANALIZACIJSKE MREŽE U NASELJU KOZARI PUTEVI</t>
  </si>
  <si>
    <t>IZGRADNJA DJEČJEG I MALONOGOMETNOG IGRALIŠTA U JELKOVCU</t>
  </si>
  <si>
    <t>OPREMA ZA ŠKOLU, DVORANU I BAZEN SREDNJE ŠKOLE NOVI JELKOVEC, GRUPA 3. KONTROLA  I  NAPLATA ULAZA</t>
  </si>
  <si>
    <t>ANEKS UGOVORU - IZRADA STUDIJE "MOGUĆNOSTI NADOMJEŠTANJA UVOZNIH PROIZVODA VLASTITOM PROIZVODNJOM OD STRANE ZAGREBAČKE INDUSTRIJE I PARTNERA" 2. FAZA</t>
  </si>
  <si>
    <t>PRIJENOSNA RUČNA RAČUNALA ZA KONTROLU KARATA</t>
  </si>
  <si>
    <t>NABAVA NAMJEŠTAJA ZA UČENIČKI DOM ŠPORTSKE GIMNAZIJE</t>
  </si>
  <si>
    <t>KRAJOBRAZNO UREĐIVANJE OKOLIŠA ZA CRKVU BLAŽENOG PAPE IVANA XXIII U ULICI KRIŽNOG PUTA</t>
  </si>
  <si>
    <t>IZGRADNJA 2. ETAPE BRANIMIROVE ULICE OD ZAVRTNICE DO HEINZELOVE - JAVNA RASVJETA</t>
  </si>
  <si>
    <t>ANEKS UGOVORU - OPREMANJE ODJELA VI. PSIHIJATRIJSKE BOLNICE "SVETI IVAN"</t>
  </si>
  <si>
    <t>II. ANEKS UGOVORU - SANACIJA OSNOVNE DRVENE KONSTRUKCIJE- TEHNIČKI MUZEJ "HALA A" (II. FAZA)</t>
  </si>
  <si>
    <t>ANEKS UGOVORU - IZRADA TEHNIČKE DOKUMENTACIJE ZA MJERE ENERGETSKE OBNOVE OBJEKATA  U OKVIRU PROJEKTA ZAGEE - 6 FAZA</t>
  </si>
  <si>
    <t>REZERVNI DIJELOVI ELEKTRIČNIH INSTALACIJA TRAMVAJA PROIZVOĐAČA EAO I PMA</t>
  </si>
  <si>
    <t>NABAVA LONČANICA</t>
  </si>
  <si>
    <t>IZGRADNJA AUTOBUSNOG UGIBALIŠTA KOD OBJEKTA MJESNE SAMOUPRAVE U VURNOVCU, VURNOVEČKA ULICA DODATNI RADOVI</t>
  </si>
  <si>
    <t>SANACIJA KLIZIŠTA DUBRAVKIN PUT</t>
  </si>
  <si>
    <t>NABAVA OBVEZNIH UDŽBENIKA ZA UČENIKE OSNOVNIH I SREDNJIH ŠKOLA GRADA ZAGREBA- NAKLADNIK PROFIL INTERNATIONAL D.O.O</t>
  </si>
  <si>
    <t>ANEKS UGOVORU - IZGRADNJA NOGOSTUPA U JEŽDOVEČKOJ CESTI</t>
  </si>
  <si>
    <t>IZGRADNJA VODOOPSKRBNE MREŽE U ULICAMA MATIČKI, LUKŠIĆI I TATARI</t>
  </si>
  <si>
    <t>IZGRADNJA KANALIZACIJSKE MREŽE NA SLIVU KUSTOŠIJANSKA - GORENŠČAK</t>
  </si>
  <si>
    <t>IZGRADNJA VODOOPSKRBNE MREŽE U NASELJU KAŠINA</t>
  </si>
  <si>
    <t>DODATNE USLUGE DOPROJEKTIRANJA REKONSTRUKCIJE KOMPLEKSA KB SVETI DUH - IZGRADNJA DNEVNE BOLNICE S PODZEMNOM GARAŽOM, PRIVREMENIM ODLAGALIŠTEM BOLNIČKOG OTPADA I IZGRADNJE HIDROSTANICE NA LOKACIJI SVETI DUH 64 (K.Č. BR. 1495/1 K.O. ČRNOMEREC)</t>
  </si>
  <si>
    <t>USLUGA PRIVREMENOG ZAPOŠLJAVANJA RADNIKA</t>
  </si>
  <si>
    <t>SANACIJA KROVA DJEČJEG VRTIĆA TRAVNO - PODRUČNI OBJEKT KOPERNIKOVA</t>
  </si>
  <si>
    <t>MATERIJAL ZA OBUSTAVU PROTOKA PLINA "RAVETTI"</t>
  </si>
  <si>
    <t>ODRŽAVANJE I UREĐENJE STANOVA, POSLOVNIH PROSTORA I OBJEKATA U IMOVINI GRADA U STANJU PODOBNOM ZA STANOVANJE ODNOSNO KORIŠTENJE</t>
  </si>
  <si>
    <t>IZMJENA PROZORA NA ULIČNOJ STRANI NA OBJEKTU UČENIČKOG DOMA MARIJE JAMBRIŠAK, OPATIČKA ULICA 14 - DODATNI RADOVI</t>
  </si>
  <si>
    <t>PROJEKT IZRADE PLANOVA I DOKUMENTACIJE ZA ZIMSKU SLUŽBU</t>
  </si>
  <si>
    <t>REKONSTRUKCIJA NISKOTLAČNOG PLINOVODA DUBEC - I. ETAPA</t>
  </si>
  <si>
    <t>IZGRADNJA AUTOBUSNOG OKRETIŠTA U DUMOVCU</t>
  </si>
  <si>
    <t>MATERIJAL ZA HIGIJENSKE POTREBE</t>
  </si>
  <si>
    <t>IZGRADNJA 2. ETAPE BRANIMIROVE ULICE OD ZAVRTNICE DO HEINZELOVE - SEMAFORSKA INSTALACIJA</t>
  </si>
  <si>
    <t>IZGRADNJA 2. ETAPE BRANIMIROVE ULICE OD ZAVRTNICE DO HEINZELOVE - CESTOVNA PROMETNICA</t>
  </si>
  <si>
    <t>SPECIJALNA VOZILA ZA SAKUPLJANJE OTPADA VOLUMENA SPREMNIKA 16 M3, MAX. UKUPNE MASE 18 T PUTEM FINANCIJSKOG LEASINGA</t>
  </si>
  <si>
    <t>3.416.103,52 EUR, plaćanje se vrši po srednjem tečaju EUR - a Hrvatske narodne banke na dan plaćanja fakture</t>
  </si>
  <si>
    <t>PROIZVODI OD OLOVA, CINKA I KOSITRA</t>
  </si>
  <si>
    <t>IZVOĐENJE RADOVA NA SEMAFORIZACIJI RASKRIŽJA ILICA - GMAJNJE</t>
  </si>
  <si>
    <t>DODATNI RADOVI NA IZGRADNJI TRANSFORMATORSKIH STANICA I IZMJEŠTANJU I IZGRADNJI EE MREŽE U SKLOPU REKONSTRUKCIJE 2. ETAPE RADNIČKE CESTE OD ULICE KOLEDOVČINA DO ŽELJEZNIČKE PRUGE</t>
  </si>
  <si>
    <t>NADOGRADNJA SIGURNOSNOG SUSTAVA</t>
  </si>
  <si>
    <t>SANACIJA SREDNJEG STUPA PODSUSEDSKOG MOSTA</t>
  </si>
  <si>
    <t>IZGRADNJA VODOOPSKRBNE MREŽE U NASELJU GLAVNICA GORNJA</t>
  </si>
  <si>
    <t>PERIODIČKA IZOBRAZBA VOZAČA PO ZAKONU O PRIJEVOZU U CESTOVNOM PROMETU</t>
  </si>
  <si>
    <t>USLUGA HORTIKULTURNOG UREĐENJA NEIZGRAĐENOG GRAĐEVINSKOG ZEMLJIŠTA</t>
  </si>
  <si>
    <t>ČIŠĆENJE KANALA I SLIVNIKA NA ISTOČNOM DIJELU GRADA ZAGREBA</t>
  </si>
  <si>
    <t>IZGRADNJA KANALIZACIJSKE MREŽE U NASELJU ČAPLINEC</t>
  </si>
  <si>
    <t>STROJNI UTOVAR, PRIJEVOZ I DEPONIRANJE VIŠKA ZEMLJE</t>
  </si>
  <si>
    <t>TURBINSKI PLINOMJERI VELIČINE G-65 - G-2500</t>
  </si>
  <si>
    <t>TEKUĆI TEHNIČKI KLOR CL2</t>
  </si>
  <si>
    <t>ELEKTROMOTOR ZA DUBINSKE POTOPNE CRPKE MARKE PLEUGER</t>
  </si>
  <si>
    <t>ZAŠTITA OBJEKATA PUTEM CENTRALNOG DOJAVNOG SUSTAVA ZA: GRUPA A) SREDNJE ŠKOLE I UČENIČKI DOMOVI</t>
  </si>
  <si>
    <t>ZAŠTITA OBJEKATA PUTEM CENTRALNOG DOJAVNOG SUSTAVA ZA: GRUPA B) OSNOVNE ŠKOLE</t>
  </si>
  <si>
    <t>ZAŠTITA OBJEKATA PUTEM CENTRALNOG DOJAVNOG SUSTAVA ZA: GRUPA A) DJEČJI VRTIĆI</t>
  </si>
  <si>
    <t>NABAVA OBVEZNIH UDŽBENIKA ZA UČENIKE OSNOVNIH I SREDNJIH ŠKOLA GRADA ZAGREBA -NAKLADNIK LJEVAK</t>
  </si>
  <si>
    <t>NABAVA UREĐAJA I STROJEVA ZA KUHINJU ZA UČENIČKI DOM  ŠPORTSKE GIMNAZIJE</t>
  </si>
  <si>
    <t>NOSAČI I OVJESNI PRIBOR GORNJEG VODA</t>
  </si>
  <si>
    <t>ANEKS UGOVORU - SANACIJA KLIZIŠTA VELKI POTOK</t>
  </si>
  <si>
    <t>RADOVI NA ODRŽAVANJU NEKRETNINA U STAMBENOM NASELJU NOVI JELKOVEC U SESVETAMA</t>
  </si>
  <si>
    <t>DODATNI RADOVI NA IZMJENI PROZORA, UREĐENJA TERASE I ULAZA U DJEČJI VRTIĆ RAZLIČAK</t>
  </si>
  <si>
    <t>POPRAVAK U SUDARU OŠTEĆENIH KLASIČNIH NISKOPODNIH AUTOBUSA NA POGON STLAČENIM ZEMNIM PLINOM</t>
  </si>
  <si>
    <t>SPECIJALNO VOZILO ZA PRANJE I DEZINFEKCIJU KANTI I KONTEJNERA OD 80-1100 LITARA, TOPLOM VODOM I VISOKIM PRITISKOM PUTEM FINANCIJSKOG LEASINGA</t>
  </si>
  <si>
    <t>251.676,88 EUR, plaćanje se vrši po srednjem tečaju EUR - a Hrvatske narodne banke na dan plaćanja fakture</t>
  </si>
  <si>
    <t>UREĐENJE DIJELA PRIZEMLJA MO,  DJEČJEG VRTIĆA VLADIMIRA NAZORA,</t>
  </si>
  <si>
    <t>SANACIJA KROVA DJEČJEG VRTIĆA TRAVNO - PODRUČNI OBJEKT BOŽIDARA MAGOVCA</t>
  </si>
  <si>
    <t>ANEKS UGOVORU - IZGRADNJA ULICA OZNAKA: 5,13 I 14, S OBORINSKOM ODVODNJOM, TE IZGRADNJOM INFRASTRUKTURNOG SUSTAVA ZA OBORINSKU ODVODNJU</t>
  </si>
  <si>
    <t>REZERVNI DIJELOVI ZA STIHL-VIKING PROGRAM</t>
  </si>
  <si>
    <t>II ANEKS UGOVORU - IZRADA TEHNIČKE DOKUMENTACIJE ZA POSTAVU FOTONAPONSKIH SUSTAVA</t>
  </si>
  <si>
    <t>ZAŠTIĆENE ISPRAVE I TISKANICE DRŽAVNIH MATICA</t>
  </si>
  <si>
    <t>ODRŽAVANJE, FUNKCIONALNA NADOGRADNJA, REZERVNI DIJELOVI I OPREMA SUSTAVA ZA AUTOMATSKU NAPLATU PRIJEVOZA</t>
  </si>
  <si>
    <t>GODIŠNJI UGOVOR ZA USLUGU ODRŽAVANJA I NADOGRADNJE APLIKATIVNIH RJEŠENJA: MATICE ŠKOLA, PLAĆE VRTIĆA, SUSTAV ZA PODRŠKU PROGRAMIMA POTICANJA OBRTA, EVIDENCIJA IMOVINE U VLASNIŠTVU GRADA ZAGREBA I CENTRALIZIRANA NABAVA</t>
  </si>
  <si>
    <t>GODIŠNJI UGOVOR ZA USLUGU ČIŠĆENJA ODVODNIH INSTALACIJA, SEPTIČKIH JAMA, TE DETEKCIJA KVAROVA</t>
  </si>
  <si>
    <t>IZGRADNJA MAGISTRALNOG VODOOPSKRBNOG CJEVOVODA ALEJA BOLOGNE - LISIČINA</t>
  </si>
  <si>
    <t>SPECIJALNO VOZILO - AUTOPODIZAČ ZA PRIJEVOZ I PRAŽNJENJE KONTEJNERA I PRESS KONTEJNERA OD 5-10 M3 PUTEM FINANCIJSKOG LEASINGA</t>
  </si>
  <si>
    <t>414.133,59 EUR, plaćanje se vrši po srednjem tečaju EUR - a Hrvatske narodne banke na dan plaćanja fakture</t>
  </si>
  <si>
    <t>SPECIJALNA VOZILA ZA SAKUPLJANJE OTPADA VOLUMENA SPREMNIKA 16 M3, S MOGUĆNOŠĆU PRANJA POSUDA ZA OTPAD PUTEM FINANCIJSKOG LEASINGA</t>
  </si>
  <si>
    <t>653.331,20 EUR, plaćanje se vrši po srednjem tečaju EUR - a Hrvatske narodne banke na dan plaćanja fakture</t>
  </si>
  <si>
    <t>ODRŽAVANJE JAVNIH SATOVA NA PODRUČJU GRADA ZAGREBA</t>
  </si>
  <si>
    <t>ANEKS UGOVORU - KAMENARSKI RADOVI NA REKONSTRUKCIJI ZAPADNE STRANE TRGA MARŠALA TITA</t>
  </si>
  <si>
    <t>GODIŠNJI UGOVOR O NABAVI TEHNIČKIH PLINOVA</t>
  </si>
  <si>
    <t>PRIBOR I SREDSTVA ZA PRANJE, ČIŠĆENJE, HIGIJENU I NJEGU</t>
  </si>
  <si>
    <t>ENERGETSKA OBNOVA DV PČELICA, UL. JOSIPA HAMMA 2</t>
  </si>
  <si>
    <t>GODIŠNJI UGOVOR - ODRŽAVANJE APLIKATIVNOG SUSTAVA "CARPIO"</t>
  </si>
  <si>
    <t>ZAMJENA STOLARIJE I UREĐIVANJE KUHINJE U OBJEKTU ŠKOLE ZA PRIMALJE, VINOGRADSKA 29</t>
  </si>
  <si>
    <t>REZERVNI DIJELOVI I POPRAVAK POSTROJENJA ZA PROIZVODNJU I RECIKLAŽU ASFALTNIH MJEŠAVINA MARKE BENNINGHOVEN</t>
  </si>
  <si>
    <t>USLUGE ČIŠĆENJA NEIZGRAĐENOG GRAĐEVINSKOG ZEMLJIŠTA</t>
  </si>
  <si>
    <t>ANEKS UGOVORU - OPREMANJE OBJEKTA I KUHINJE DJEČJEG VRTIĆA KAJZERICA</t>
  </si>
  <si>
    <t>OBNOVA DVORIŠNOG PROČELJA ZGRADE, ĐORĐIĆEVA 8A</t>
  </si>
  <si>
    <t>ANEKS UGOVORU - REKONSTRUKCIJA PLINSKE KOTLOVNICE PODRUČNOG UREDA MAKSIMIR</t>
  </si>
  <si>
    <t>OBNOVA I ODRŽAVANJE JUŽNOG DIJELA SPOMENIKA PARKOVNE ARHITEKTURE PARK MAKSIMIR</t>
  </si>
  <si>
    <t>ANEKS UGOVORU - OPREMANJE OBJEKTA ŠKOLE KAJZERICA (OSNOVNA I SREDNJA ŠKOLA)</t>
  </si>
  <si>
    <t>REZERVNI DIJELOVI ASFALTNE BAZE - NADOPUNA ASORTIMANA</t>
  </si>
  <si>
    <t>STUPOVI PJEŠAČKI, VOZAČKI, KONZOLNI ZA OVJES SEMAFORA</t>
  </si>
  <si>
    <t>IZRADA ENERGETSKIH PREGLEDA I CERTIFIKACIJA - III FAZA</t>
  </si>
  <si>
    <t>GEOTEHNIČKI ISTRAŽNI RADOVI I PROJEKT SANACIJE KLIZIŠTA U ULICI ŠESTINSKI PRILAZ KOD KBR. 46 I PROJEKT DOLINSKOG KANALA U ULICI ŠESTINSKI PRILAZ - ODVOJAK</t>
  </si>
  <si>
    <t>METLE BREZOVE</t>
  </si>
  <si>
    <t>ORGANIZIRANI PRIJEVOZ DJECE DJEČJIH VRTIĆA GRADA ZAGREBA</t>
  </si>
  <si>
    <t>SPECIJALNA VOZILA ZA SAKUPLJANJE OTPADA VOLUMENA SPREMNIKA 22 M3, MAX. UKUPNE MASE 26 T PUTEM FINANCIJSKOG LEASINGA</t>
  </si>
  <si>
    <t>257.369,58 EUR, plaćanje se vrši po srednjem tečaju EUR - a Hrvatske narodne banke na dan plaćanja fakture</t>
  </si>
  <si>
    <t>MEMBRANSKI PLINOMJERI VELIČINE G-10 - G-25</t>
  </si>
  <si>
    <t>ANEKS UGOVORU - SANACIJA TERASE NA LOKACIJI TRG STJEPANA KONZULA</t>
  </si>
  <si>
    <t>ANEKS UGOVORU - GODIŠNJI UGOVOR - USLUGE PREVENTIVNE I OBVEZNE PREVENTIVNE DEZINSEKCIJE KOMARACA NA PODRUČJU GRADA ZAGREBA</t>
  </si>
  <si>
    <t>IZRADA PROJEKTA SANACIJE III. PAVILIJONA UČENIČKOG DOMA NOVI ZAGREB,</t>
  </si>
  <si>
    <t>REZERVNI DIJELOVI I POPRAVAK VIBRONABIJAČA DYNAPAC</t>
  </si>
  <si>
    <t>IZGRADNJA JAVNE RASVJETE II. ETAPA IZ PLANOVA MALIH KOMUNALNIH AKCIJA VIJEĆA GRADSKIH ČETVRTI DONJI GRAD, GORNJI GRAD MEDVEŠČAK,NOVI ZAGREB - ISTOK, ČRNOMERC,GORNJA DUBRAVA, DONJA DUBRAVA PODSLJEME I SESVETE</t>
  </si>
  <si>
    <t>ANEKS UGOVORU - SANACIJA KLIZIŠTA KVATERNIKOVA - DIVOSELSKA</t>
  </si>
  <si>
    <t>IZVOĐENJE RADOVA DOPUNI SEMAFORIZIRANIH RASKRIŽJA NA BJELOVARSKOJ OD V. NAZORA DO JELKOVEČKE</t>
  </si>
  <si>
    <t>SPECIJALNA VOZILA ZA SAKUPLJANJE OTPADA VOLUMENA SPREMNIKA 10 M3, MAX. UKUPNE MASE 12 T PUTEM FINANCIJSKOG LEASINGA</t>
  </si>
  <si>
    <t>3.355.959,46 EUR, plaćanje se vrši po srednjem tečaju EUR - a Hrvatske narodne banke na dan plaćanja fakture</t>
  </si>
  <si>
    <t>PREVODNIČKI UREĐAJI</t>
  </si>
  <si>
    <t>NAFTNI DERIVATI GRUPA I – BENZINSKO I DIESEL GORIVO</t>
  </si>
  <si>
    <t>NAFTNI DERIVATI GRUPA II – DIESEL GORIVO</t>
  </si>
  <si>
    <t>NAFTNI DERIVATI GRUPA III – LOŽIVO ULJE EXTRA LAKO</t>
  </si>
  <si>
    <t>GODIŠNJI UGOVOR  - RAZNI UREDSKI POTROŠNI MATERIJAL</t>
  </si>
  <si>
    <t>IZGRADNJA MOSTA PREKO MIRAMARSKE ULICE</t>
  </si>
  <si>
    <t>CVIJEĆE I CVJETNI ARANŽMANI</t>
  </si>
  <si>
    <t>USLUGE PREVOĐENJA- 1. GRUPA: PISANI PRIJEVOD (ENGLESKI, NJEMAČKI, TALIJANSKI I FRANCUSKI)</t>
  </si>
  <si>
    <t>ANEKS UGOVORU - II. GODIŠNJI UGOVOR - OSIGURANJE RADNIKA DJEČJIH VRTIĆA GRADA ZAGREBA OD POSLJEDICA NESRETNOG SLUČAJA (NEZGODE)</t>
  </si>
  <si>
    <t>POJEDINAČNI UGOVOR - USLUGE PRIVREMENOG ZAPOŠLJAVANJA RADNIKA</t>
  </si>
  <si>
    <t>USLUGE PREVOĐENJA 2. GRUPA: PISANI PRIJEVOD (OSTALI JEZICI PREMA POTREBAMA NARUČITELJA)</t>
  </si>
  <si>
    <t>ČETKE ZA ČISTILICE ZA STROJNO ČIŠĆENJE JAVNO PROMETNIH POVRŠINA</t>
  </si>
  <si>
    <t>II GODIŠNJI UGOVOR - OPSKRBA PLINOM</t>
  </si>
  <si>
    <t>MINERALNA GNOJIVA</t>
  </si>
  <si>
    <t>IZGRADNJA OBJEKTA CENTAR POŽARINJE I OBJEKTA MJESNE SAMOUPRAVE,  II. ETAPA</t>
  </si>
  <si>
    <t>IZVOĐENJE RADOVA NA DOPUNI SEMAFORIZACIJE RASKRIŽJA ALEJA BOLOGNE - MEDPOTOKI</t>
  </si>
  <si>
    <t>VODOMJERI</t>
  </si>
  <si>
    <t>POSEBNI POVREMENI PRIJEVOZ PUTNIKA U UNUTARNJEM CESTOVNOM PROMETU</t>
  </si>
  <si>
    <t>SOBOSLIKARSKO - LIČILAČKI RADOVI U OBJEKTIMA MJESNE SAMOUPRAVE</t>
  </si>
  <si>
    <t>02.04.2015.</t>
  </si>
  <si>
    <t>USLUGE PREVOĐENJA 3. GRUPA: SIMULTANI PRIJEVOD (ENGLESKI, NJEMAČKI, TALIJANSKI I FRANCUSKI)</t>
  </si>
  <si>
    <t>USLUGE PREVOĐENJA - 4. GRUPA: KONSEKUTIVNI PRIJEVOD</t>
  </si>
  <si>
    <t>REZERVNI DIJELOVI ZA RALICE KAHLBACHER HES-310</t>
  </si>
  <si>
    <t>ODRŽAVANJE FONTANA NA LOKACIJI HRVATSKE BRATSKE ZAJEDNICE</t>
  </si>
  <si>
    <t>POSTAVA NOVE I OBNOVA POSTOJEĆE TURISTIČKE I OSTALE SIGNALIZACIJE GRADA ZAGREBA</t>
  </si>
  <si>
    <t>PROJEKT TURISTIČKE I DRUGE SIGNALIZACIJE GRADA ZAGREBA</t>
  </si>
  <si>
    <t>IZGRADNJA KANALIZACIJSKE MREŽE U ODVOJKU ULICE I. ČULINEC</t>
  </si>
  <si>
    <t>SANACIJA PROMETNICA I DRUGIH JAVNIH POVRŠINA KOD IZGRADNJE I SANACIJE MREŽE I OBJEKATA VODOOPSKRBE I ODVODNJE</t>
  </si>
  <si>
    <t>GRANITNI NADGROBNI ELEMENTI</t>
  </si>
  <si>
    <t>UREĐENJE JAVNE POVRŠINE U JAGIĆEVOJ ULICI</t>
  </si>
  <si>
    <t>SLUŽBENA ODJEĆA PODRUŽNICE ZET - LJETNA</t>
  </si>
  <si>
    <t>IZGRADNJA KANALIZACIJSKE MREŽE U NASELJU MEDVEDSKI BREG</t>
  </si>
  <si>
    <t>GODIŠNJI UGOVOR - RAZNI UREDSKI POTROŠNI MATERIJAL</t>
  </si>
  <si>
    <t>RAČUNALNA OPREMA</t>
  </si>
  <si>
    <t>IZGRADNJA VODOOPSKRBNE MREŽE U ULICI KOLEDOVČINA</t>
  </si>
  <si>
    <t>REZERVNI DIJELOVI ZA BCS PROGRAM</t>
  </si>
  <si>
    <t>REZERVNI DIJELOVI, ODRŽAVANJE I POPRAVAK GPS SUSTAVA ZA PRAĆENJE VOZILA ZIMSKE SLUŽBE, SUSTAVA ZA PREGLED STANJA NA CESTAMA I SUSTAVA DOJAVE MOBILNIM UREĐAJIMA</t>
  </si>
  <si>
    <t>IZGRADNJA KOLEKTORA FALLEROVO ŠETALIŠTE</t>
  </si>
  <si>
    <t>IZGRADNJA PROMETNICE S OBORINSKOM ODVODNJOM ULICE KOLEDOVČINA OD RADNIČKE CESTE DO ČRNKOVEČKE ULICE</t>
  </si>
  <si>
    <t>GEODETSKI NADZOR PRI IZGRADNJI 2. ETAPE BRANIMIROVE ULICE OD ZAVRTNICE DO HEINZELOVE</t>
  </si>
  <si>
    <t>UKAPLJENI NAFTNI PLIN (PROPAN - BUTAN) ZA SAMOSTOJEĆE SPREMNIKE</t>
  </si>
  <si>
    <t>NABAVA I POSTAVA OPREME ZA SMIRIVANJE I USMJERAVANJE PROMETA, ODRŽAVANJE POSTOJEĆIH, POSTAVA TAKTILNIH PLOČA I LINIJA VODILJA ZA SLIJEPE I  SLABOVIDNE OSOBE, ELASTIČNI STUPIĆI</t>
  </si>
  <si>
    <t>31.01.2015.</t>
  </si>
  <si>
    <t>IZGRADNJA KANALIZACIJSKE MREŽE NA UZVODNOM SLIVU POTOKA LOMNICA - BREZOVICA</t>
  </si>
  <si>
    <t>REZERVNI DIJELOVI I POPRAVAK RADNIH STROJEVA MARKE JCB</t>
  </si>
  <si>
    <t>ANEKS UGOVORU - NABAVA KLIMA UREĐAJA</t>
  </si>
  <si>
    <t>ANEKS UGOVORU - HORIZONTALNA I VERTIKALNA PROMETNA SIGNALIZACIJA I PRIVREMENA REGULACIJA NA IZGRADNJI RADNIČKE CESTE OD ULICE KOLEDOVČINA DO ŽELJEZNIČKE PRUGE</t>
  </si>
  <si>
    <t>DODATNI RADOVI NA ODRŽAVANJU I UREĐENJE STANOVA, POSLOVNIH PROSTORA I OBJEKATA U IMOVINI GRADA U STANJU PODOBNOM ZA STANOVANJE ODNOSNO KORIŠTENJE, PREMA OSNOVNOM UGOVORU BR. 413/2013 OD 09.09.2013.</t>
  </si>
  <si>
    <t>17.11.2014.</t>
  </si>
  <si>
    <t>UKLANJANJA OBJEKATA LJETNIH TERASA, POKRETNIH NAPRAVA, REKLAMNIH PANOA I OZNAKA TE OSTALOG MATERIJALA</t>
  </si>
  <si>
    <t>UREĐENJE PROSTORA UZ ULICU HRVATSKE BRATSKE ZAJEDNICE - II. FAZA</t>
  </si>
  <si>
    <t>IZVOĐENJE RADOVA NA REKONSTRUKCIJI I NADOGRADNJI OSNOVNE ŠKOLE ODRA</t>
  </si>
  <si>
    <t>ANEKS UGOVORU - REKONSTRUKCIJA NISKOTLAČNOG PLINOVODA SESVETE CENTAR - VI. ETAPA</t>
  </si>
  <si>
    <t>GODIŠNJI UGOVOR - MATERIJAL ZA HIGIJENSKE POTREBE</t>
  </si>
  <si>
    <t>IZGRADNJA JAVNOG KANALA U ULICAMA CEBIĆI VELIKI I POVRŠNICI</t>
  </si>
  <si>
    <t>IZGRADNJA KANALIZACIJSKE MREŽE U NASELJU VIDOVEC - ISTOČNO OD POTOKA</t>
  </si>
  <si>
    <t>STRUČNI NADZOR NAD IZGRADNJOM MAGISTRALNOG VODOOPSKRBNOG CJEVOVODA ALEJA BOLOGNE - LISIČINA</t>
  </si>
  <si>
    <t>POJEDINAČNI UGOVOR - MESO I MESNE PRERAĐEVINE - GRUPA 4. MESNI PROIZVODI OD PUREĆEG I PILEĆEG MESA</t>
  </si>
  <si>
    <t>17.04.2015.</t>
  </si>
  <si>
    <t>IZGRADNJA VODOOPSKRBNE MREŽE U ULICAMA BORJE, MILCOVA, KRNJAKOVA, BAZAROTOVA, KURMANOVA, MATOIĆEVA (JESENOVEC)</t>
  </si>
  <si>
    <t>POVREMENI NAJAM CESTARSKOG VOZILA S DUPLOM KABINOM NOSIVOSTI 2-4 TONE (KIPER) I KUKOM ZA PRIKOLICU</t>
  </si>
  <si>
    <t>GEODETSKI PROJEKT VELIKOG POTOKA</t>
  </si>
  <si>
    <t>ELEKTRODE I ŽICE ZA ZAVARIVANJE</t>
  </si>
  <si>
    <t>ODRŽAVANJE APLIKATIVNOG SUSTAVA "SEKOM"</t>
  </si>
  <si>
    <t>POJEDINAČNI UGOVOR - MESO I MESNE PRERAĐEVINE - GRUPA 2. SVJEŽE MESO PILETINA I PURETINA</t>
  </si>
  <si>
    <t>20.01.2015.</t>
  </si>
  <si>
    <t>ANEKS UGOVORU - NABAVA OBVEZNIH UDŽBENIKA ZA UČENIKE OSNOVNIH I SREDNJIH ŠKOLA GRADA ZAGREBA- NAKLADNIK PROFIL INTERNATIONAL D.O.O</t>
  </si>
  <si>
    <t>ČIŠĆENJE KANALA I SLIVNIKA NA ZAPADNOM DIJELU GRADA ZAGREBA</t>
  </si>
  <si>
    <t>III ANEKS UGOVORU - IZRADA PROJEKTNE DOKUMENTACIJE ZA GRADNJU VODOOPSKRBNOG CJEVOVODA U ULICAMA: KARLOVAČKA, ŠČUKANČEVA, BREZOVIČKA 39-43A, ULICA JURINE</t>
  </si>
  <si>
    <t>POJEDINAČNI UGOVOR - MESO I MESNE PRERAĐEVINE - GRUPA 1. SVJEŽE MESO, SVINJETINA, JUNETINA I TELETINA</t>
  </si>
  <si>
    <t>POJEDINAČNI UGOVOR - MATERIJAL ZA HIGIJENSKE POTREBE</t>
  </si>
  <si>
    <t>ODVJETNIČKE USLUGE ZA GRAD ZAGREB</t>
  </si>
  <si>
    <t>ANEKS UGOVORU - NABAVA OBVEZNIH UDŽBENIKA ZA UČENIKE OSNOVNIH I SREDNJIH ŠKOLA GRADA ZAGREBA -NAKLADNIK KRŠĆANSKA SADAŠNJOST D.O.O.</t>
  </si>
  <si>
    <t>23.10.2014.</t>
  </si>
  <si>
    <t>ODVJETNIČKE USLUGE ZA ZAGREBAČKI HOLDING, GRADSKO STAMBENO KOMUNALNO GOSPODARSTVO, VODOOPSKRBU I ODOVDNJU, ZAGREBAČKU PLINARU ZAGREB - OPSKRBU</t>
  </si>
  <si>
    <t>IZRADA PROJEKTA SANACIJE KLIZIŠTA NA BLAGUŠKOJ CESTI U BLAGUŠI, SESVETE</t>
  </si>
  <si>
    <t>SPECIJALNO ZAVARIVANJE STATORA I ROTORA CRPKI</t>
  </si>
  <si>
    <t>ANEKS UGOVORU  - ZAŠTIĆENE ISPRAVE I TISKANICE DRŽAVNIH MATICA</t>
  </si>
  <si>
    <t>ENERGETSKA OBNOVA DV SREDNJACI  ULICA VLADIMIRA FILAKOVCA 2</t>
  </si>
  <si>
    <t>IZGRADNJA OBORINSKE ODVODNJE I NOGOSTUPA U ULICI GORNJI BUKOVAC</t>
  </si>
  <si>
    <t>RADOVI ODRŽAVANJA GRAĐEVINSKIH OBJEKATA KB SVETI DUH</t>
  </si>
  <si>
    <t>ANEKS UGOVORU - NAJAM VOZILA ZA POTREBE GRADSKOG UREDA ZA PROSTORNO UREĐENJE, IZGRADNJU GRADA, GRADITELJSTVO, KOMUNALNE POSLOVE I PROMET</t>
  </si>
  <si>
    <t>ANEKS UGOVORU - RADOVI NA ODRŽAVANJU TRAMVAJSKE PRUGE - ULICA GRADA VUKOVARA OD KRUGA DO IZA RASKRIŽJA S MIRAMARSKOM CESTOM</t>
  </si>
  <si>
    <t>POJEDINAČNI UGOVOR - MESO I MESNE PRERAĐEVINE - GRUPA 3. OSTALI MESNI PROIZVODI</t>
  </si>
  <si>
    <t>23.01.2015.</t>
  </si>
  <si>
    <t>OPSKRBA ELEKTRIČNOM ENERGIJOM</t>
  </si>
  <si>
    <t>REZERVNI DIJELOVI I POPRAVAK RADNIH STROJEVA GREDER O&amp;K</t>
  </si>
  <si>
    <t>ODORANT ZA PRIRODNI PLIN TETRAHIDROTIOFEN (THT)</t>
  </si>
  <si>
    <t>ODRŽAVANJE SUSTAVA PARKING VIDEO NADZOR</t>
  </si>
  <si>
    <t>GODIŠNJI UGOVOR - NABAVA PRIBORA I SREDSTVA ZA PRANJE, ČIŠĆENJE, HIGIJENU I NJEGU</t>
  </si>
  <si>
    <t>PREHRAMBENI PROIZVODI I PIĆA ZA ČAJNE KUHINJE</t>
  </si>
  <si>
    <t>KOLEKTIVNO DOPUNSKO I DODATNO ZDRAVSTVENO OSIGURANJE RADNIKA</t>
  </si>
  <si>
    <t>II ANEKS UGOVORU - SANACIJA TERASE NA LOKACIJI TRG STJEPANA KONZULA</t>
  </si>
  <si>
    <t>NOVELACIJA IDEJNOG I GLAVNOG PROJEKTA INFRASTRUKTURE U ZONI VELIKOG POTOKA</t>
  </si>
  <si>
    <t>KAMEN I KAMENI AGREGATI - KAMENO BRAŠNO</t>
  </si>
  <si>
    <t>OPREMA ZA UPRAVLJANJE I SIGURNOST PRIVREMENE REGULACIJE U CESTOVNOM PROMETU</t>
  </si>
  <si>
    <t>GODIŠNJI UGOVOR - PANTOGRAFI I DIJELOVI PANTOGRAFA ZA TRAMVAJE PROIZVOĐAČA STEMMANN TECHNIK</t>
  </si>
  <si>
    <t>ANEKS UGOVORU - IZVOĐENJE RADOVA NA REKONSTRUKCIJI I NADOGRADNJI OSNOVNE ŠKOLE ODRA</t>
  </si>
  <si>
    <t>GODIŠNJI UGOVOR - VODOMJERI</t>
  </si>
  <si>
    <t>DODATNI RADOVI NA SANACIJI NADVOŽNJAKA NA SISAČKOJ CESTI OZNAKE: (Ž 1054) I ULICI DR. LUJE NALETILIĆA OZNAKE: (L10102) IZNAD AUTOCESTE A3</t>
  </si>
  <si>
    <t>HITNI RADOVI NA SANACIJI KLIZIŠTA NA PODRUČJU GRADA ZAGREBA</t>
  </si>
  <si>
    <t>STRUČNI NADZOR NAD IZGRADNJOM KOLEKTORA FALLEROVO ŠETALIŠTE</t>
  </si>
  <si>
    <t>ANEKS UGOVORA - NABAVA OBVEZNIH UDŽBENIKA ZA UČENIKE OSNOVNIH  ŠKOLA GRADA ZAGREBA -NAKLADNIK GLAS KONCILA</t>
  </si>
  <si>
    <t>NADOGRADNJA I ODRŽAVANJE APLIKATIVNOG RJEŠENJA ZA DERATIZACIJU, DEZINFEKCIJU I DEZINSEKCIJU</t>
  </si>
  <si>
    <t>USLUGA PROIZVODNJE OBNOVLJENIH GUMA ZA GOSPODARSKA VOZILA</t>
  </si>
  <si>
    <t>II. FAZA SANACIJE KROVIŠTA OSNOVNE ŠKOLE GROFA JANKA DRAŠKOVIĆA,</t>
  </si>
  <si>
    <t>GODIŠNJI UGOVOR - PREHRAMBENI PROIZVODI I PIĆA ZA ČAJNE KUHINJE</t>
  </si>
  <si>
    <t>ANEKS UGOVORU - IZRADA TEHNIČKE DOKUMENTACIJE ZA MJERE ENERGETSKE OBNOVE OBJEKATA U OKVIRU PROJEKTA ZAGEE - 7 FAZA</t>
  </si>
  <si>
    <t>GODIŠNJI UGOVOR - OPSKRBA ELEKTRIČNOM ENERGIJOM</t>
  </si>
  <si>
    <t>ANEKS UGOVORU - GODIŠNJI UGOVOR  - NABAVA RAZNOG UREDSKOG POTROŠNOG MATERIJALA</t>
  </si>
  <si>
    <t>DRVCA ZA BOŽIĆNO I NOVOGODIŠNJE UREĐENJE  VANJSKIH GRADSKIH PROSTORA</t>
  </si>
  <si>
    <t>POJEDINAČNI UGOVOR - PROJEKT IZRADE PLANOVA I DOKUMENTACIJE ZA ZIMSKU SLUŽBU</t>
  </si>
  <si>
    <t>STRUČNI NADZOR PRI IZGRADNJI 2. ETAPE BRANIMIROVE ULICE OD ZAVRTNICE DO HEINZELOVE</t>
  </si>
  <si>
    <t>ZIMSKA SLUŽBA GRUPA 1. NOVI ZAGREB ZAPAD - ZAPADNI DIO</t>
  </si>
  <si>
    <t>ZIMSKA SLUŽBA GRUPA 2. SESVETE – CENTAR</t>
  </si>
  <si>
    <t>ZIMSKA SLUŽBA GRUPA 4. SESVETE - SJEVEROISTOČNI DIO</t>
  </si>
  <si>
    <t>ZIMSKA SLUŽBA GRUPA 5. STENJEVEC</t>
  </si>
  <si>
    <t>ZIMSKA SLUŽBA GRUPA 6. NOVI ZAGREB ZAPAD - ISTOČNI DIO</t>
  </si>
  <si>
    <t>ZIMSKA SLUŽBA GRUPA 7. DONJA DUBRAVA</t>
  </si>
  <si>
    <t>ZIMSKA SLUŽBA GRUPA 8. SESVETE – ZAPAD</t>
  </si>
  <si>
    <t>ZIMSKA SLUŽBA GRUPA 9. MAKSIMIR</t>
  </si>
  <si>
    <t>ZIMSKA SLUŽBA GRUPA 11. GORNJA DUBRAVA</t>
  </si>
  <si>
    <t>ZIMSKA SLUŽBA GRUPA 12. PODSUSED – VRAPČE</t>
  </si>
  <si>
    <t>ZIMSKA SLUŽBA GRUPA 14. ČIŠĆENJE I SOLJENJE JAVNIH POVRŠINA U ZIMSKIM UVJETIMA</t>
  </si>
  <si>
    <t>ZIMSKA SLUŽBA GRUPA 15. STROJNI I RUČNI UTOVAR SNIJEGA NA PODRUČJU GRADA ZAGREBA</t>
  </si>
  <si>
    <t>PRIVREMENA SANACIJA KLIZIŠTA NA SPOJU NOVOG DIJELA GROBLJA MIROGOJ I GAJA URNI</t>
  </si>
  <si>
    <t>IZGRADNJA KANALIZACIJSKE MREŽE U NASELJU DUBCI</t>
  </si>
  <si>
    <t>CRPKE POTOPNE, MULJNE I FEKALNE</t>
  </si>
  <si>
    <t>MEMBRANSKI PLINOMJERI VELIČINE G-4</t>
  </si>
  <si>
    <t>SANACIJA ZAŠTITNIH OGRADA NA STAJALIŠTIMA JAVNOG GRADSKOG PRIJEVOZA</t>
  </si>
  <si>
    <t>POJEDINAČNI UGOVOR - USLUGA PRIVREMENOG ZAPOŠLJAVANJA RADNIKA</t>
  </si>
  <si>
    <t>POJEDINAČNI UGOVOR - TEHNIČKI PLINOVI</t>
  </si>
  <si>
    <t>POVREMENI NAJAM SPECIJALNOG STROJA S BRZO IZMJENJIVIM PRIKLJUČCIMA</t>
  </si>
  <si>
    <t>AUTO GUME</t>
  </si>
  <si>
    <t>DODATNI RADOVI NA SANACIJI PROČELJA I KROVA MATOŠEVA 1</t>
  </si>
  <si>
    <t>ANEKS UGOVORU - IZRADA PROJEKTNE DOKUMENTACIJE ZA GRADNJU VODOOPSKRBNIH CJEVOVODA U SAVSKOM GAJU, HERMANOVA ULICA, U SVETOJ KLARI U ULICAMA BURIĆEVA, LUKORANSKA I FRANJE MALNARA I. ODVOJAK I IZRADA PROJEKTNE DOKUMENTACIJE ZA IZGRADNJU JAVNOG KANALA U SVETOJ KLARI U BURIĆEVOJ I LUKORANSKOJ ULICI</t>
  </si>
  <si>
    <t>MJERAČI PROTOKA VODE S OPREMOM</t>
  </si>
  <si>
    <t>ANEKS UGOVORU - IZRADA ENERGETSKIH CERIFIKATA ZA ZGRADE U VLASNIŠTVU GRADA ZAGREBA - II. FAZA</t>
  </si>
  <si>
    <t>ANEKS UGOVORU - IZRADA PROJEKTNE DOKUMENTACIJE ZA GRADNJU VODOOPSKRBNIH CJEVOVODA U LUČKOM U ULICAMA: UNČANSKA, BUGAROVA (ODVOJAK), HOJNIKOVA I HRVATSKOSELSKA (IVIČEKI), ROŽMANKA, DOLENICA I LUČKO</t>
  </si>
  <si>
    <t>ANEKS UGOVORU - SANACIJA TERASE U ULICI BOŽIDARA MAGOVCA - JUŽNA I ZAPADNA STRANA</t>
  </si>
  <si>
    <t>USLUGA OGLAŠAVANJA</t>
  </si>
  <si>
    <t>OPREMA ZA KONTROLU I NAPLATU PARKIRANJA</t>
  </si>
  <si>
    <t>POJEDINAČNI UGOVOR - ODRŽAVANJE, POPRAVAK I PRIPREMA MJERILA MASE ZA OVJERAVANJE</t>
  </si>
  <si>
    <t>DODATNI RADOVI NA SANACIJI PROČELJA I KROVA, TE SOBOSLIKARSKO RESTAURATORSKI RADOVI NA SANACIJI PROČELJA NOVA VES 86</t>
  </si>
  <si>
    <t>09.12.2014.</t>
  </si>
  <si>
    <t>KRIŽIŠTA I SRCIŠTA</t>
  </si>
  <si>
    <t>ANEKS UGOVORU - RADIĆEVA 36 - SANACIJA ULIČNOG, DVORIŠNOG I ZABATNOG PROČELJA I KROVIŠTA</t>
  </si>
  <si>
    <t>ANTITRAUMATSKE PODLOGE</t>
  </si>
  <si>
    <t>PROVOĐENJE MEĐUNARODNOG NATJEČAJA EUROPAN 13</t>
  </si>
  <si>
    <t>REKONSTRUKCIJA VISOKOTLAČNOG PLINOVODA ZAPAD - OD SAMOBORSKE DO ULICE SVILKOVIĆI - I. ETAPA</t>
  </si>
  <si>
    <t>UREĐAJ ZA OBRADU BIOOTPADA - BIOSTABILIZATOR</t>
  </si>
  <si>
    <t>CRPKE ZA VODU</t>
  </si>
  <si>
    <t>IZGRADNJA MJERNO REGULACIJSKOG OKNA NA SPOJU MAGISTRALNOG CJEVOVODA VS OPOROVEC I VS CERJE KOD ČULINEČKE ULICE</t>
  </si>
  <si>
    <t>ZAMJENA RADIJATORA I IZVEDBA NOVOG CIJEVNOG RAZVODA U IX. GIMNAZIJI</t>
  </si>
  <si>
    <t>NADOGRADNJA SUSTAVA SJEDNICE GRADSKE SKUPŠTINE GRADA ZAGREBA</t>
  </si>
  <si>
    <t>BETONSKI PROIZVODI KAO "SAMOBORKA"</t>
  </si>
  <si>
    <t>POPRAVCI OŠTEĆENJA NA JAVNIM POVRŠINAMA NA PODRUČJU GRADA ZAGREBA</t>
  </si>
  <si>
    <t>POJEDINAČNI UGOVOR - PRIBOR I SREDSTVA ZA PRANJE, ČIŠĆENJE, HIGIJENU I NJEGU</t>
  </si>
  <si>
    <t>EKOLOŠKO SREDSTVO ZA SUHO POSIPAVANJE JAVNO PROMETNIH POVRŠINA U ZIMSKIM UVJETIMA</t>
  </si>
  <si>
    <t>ODRŽAVANJE KOMUNIKACIJSKIH I TELEFAKS UREĐAJA, INSTALACIJE I OPREME</t>
  </si>
  <si>
    <t>REKONSTRUKCIJA VISOKOTLAČNOG PLINOVODA DUBRAVA SJEVER - II. ETAPA</t>
  </si>
  <si>
    <t>RADOVI NA IZGRADNJI I ODRŽAVANJU KANALIZACIJSKE MREŽE GRADA ZAGREBA</t>
  </si>
  <si>
    <t>PRIGODNO UKRAŠAVANJE ZA BOŽIĆNO I NOVOGODIŠNJE UREĐENJE GRADA ZAGREBA 2014./2015.</t>
  </si>
  <si>
    <t>SANACIJA KROVA OSNOVNE ŠKOLE ANTUNA MIHANOVIĆA</t>
  </si>
  <si>
    <t>POJEDINAČNI UGOVOR - ZIMSKA SLUŽBA GRUPA 1. NOVI ZAGREB ZAPAD - ZAPADNI DIO</t>
  </si>
  <si>
    <t>POJEDINAČNI UGOVOR - ZIMSKA SLUŽBA GRUPA 6. NOVI ZAGREB ZAPAD - ISTOČNI DIO</t>
  </si>
  <si>
    <t>KONTAKTI, PLETENICE I OSIGURAČI ZA TRAMVAJSKA VOZILA</t>
  </si>
  <si>
    <t>ANEKS UGOVORU - IZRADA PROJEKTNE DOKUMENTACIJE ZA IZGRADNJU VODOOPSKRBNOG CJEVOVODA U GORDANINOJ ULICI I ULICI DON BOSCA I JAVNOG KANALA U MAJDAKOVOJ-ODVOJAK, ULICI FRANJE LUČIĆA I KUDEKOVOM PUTU</t>
  </si>
  <si>
    <t>ANEKS UGOVORU -  GODIŠNJI UGOVOR - RAZNI PREHRAMBENI PROIZVODI I PIĆA GRUPA 1. RAZNI PREHRAMBENI PROIZVODI I PIĆA - ISPORUKA NA LOKACIJE KORISNIKA GRADA ZAGREBA</t>
  </si>
  <si>
    <t>REDOVNO I IZVANREDNO ODRŽAVANJE SUSTAVA ZA DETEKCIJU LEDA NA PROMETNICAMA</t>
  </si>
  <si>
    <t>PROIZVODI OD BETONA</t>
  </si>
  <si>
    <t>REKONSTRUKCIJA LOVINČIĆEVE ULICE S KOMUNALNOM INFRASTRUKTUROM</t>
  </si>
  <si>
    <t>REKONSTRUKCIJA VISOKOTLAČNOG PLINOVODA JANKOMIR - LJUBLJANSKA - I. ETAPA</t>
  </si>
  <si>
    <t>SANACIJA ULIČNOG I DVORIŠNOG PROČELJA I KROVA ZGRADE, TOMIĆEVA 8</t>
  </si>
  <si>
    <t>NABAVA SUSTAVA ZA DIREKTNU ANALIZU UZORAKA  (SDA) ZA ANALIZU ČVRSTIH, TEKUĆIH  I PLINOVITIH UZORAKA BEZ KROMATOGRAFIJE</t>
  </si>
  <si>
    <t>NABAVA TOF ANALIZATORA ZA KVALITATIVNU ANALIZU ORGANSKIH KOMPONENATA</t>
  </si>
  <si>
    <t>ZAMJENA ELEKTRIČNIH INSTALACIJA I DOTRAJALIH RASVJETNIH TIJELA U UČIONICAMA I HODNICIMA OSNOVNE ŠKOLE MEDVEDGRAD</t>
  </si>
  <si>
    <t>II. FAZA SANACIJE KROVA ELEKTROSTROJARSKE OBRTNIČKE ŠKOLE</t>
  </si>
  <si>
    <t>ANEKS UGOVORU - IZRADA TEHNIČKE DOKUMENTACIJE ZA MJERE ENERGETSKE OBNOVE OBJEKATA U OKVIRU PROJEKTA ZAGEE -9. FAZA</t>
  </si>
  <si>
    <t>NABAVA STANDARDNIH INFORMATIČKIH PROGRAMSKIH ALATA</t>
  </si>
  <si>
    <t>BOJE I LAKOVI</t>
  </si>
  <si>
    <t>IZVEDBA RADOVA NA IZVEDBI TEHNIČKE ZAŠTITE U OBJEKTIMA GRADSKE UPRAVE U PODRUČNIM UREDIMA: DUBRAVA, MEDVEŠĆAK I ČRNOMEREC</t>
  </si>
  <si>
    <t>STROJ ZA DROBLJENJE I USITNJAVANJE DRVENASTOG BIO-OTPADA</t>
  </si>
  <si>
    <t>POVREMENI NAJAM ROVOKOPAČA - UTOVARIVAČA (KOMBINIRKA)</t>
  </si>
  <si>
    <t>IZRADA TEHNIČKE DOKUMENTACIJE ZA MODERNIZACIJU JAVNE RASVJETE U OKVIRU PROJEKTA ZAGEE - 2. FAZA</t>
  </si>
  <si>
    <t>ANEKS UGOVORU - USLUGE OSIGURANJA PROVOĐENJA OVRHE ZA ISELJENJE IZ STANOVA I POSLOVNIH PROSTORA U VLASNIŠTVU I NA UPRAVLJANJU GRADA ZAGREBA</t>
  </si>
  <si>
    <t>REZERVNI DIJELOVI I ZAMJENSKE SPRAVE ZA DJEČJA IGRALIŠTA PROIZVOĐAČA "USLUGA"</t>
  </si>
  <si>
    <t>POJEDINAČNI UGOVOR - ZIMSKA SLUŽBA GRUPA 2. SESVETE – CENTAR</t>
  </si>
  <si>
    <t>POJEDINAČNI UGOVOR - ZIMSKA SLUŽBA GRUPA 3. SESVETE – ISTOK</t>
  </si>
  <si>
    <t>POJEDINAČNI UGOVOR - ZIMSKA SLUŽBA GRUPA 4. SESVETE - SJEVEROISTOČNI DIO</t>
  </si>
  <si>
    <t>POJEDINAČNI UGOVOR - ZIMSKA SLUŽBA GRUPA 5. STENJEVEC</t>
  </si>
  <si>
    <t>POJEDINAČNI UGOVOR - ZIMSKA SLUŽBA GRUPA 7. DONJA DUBRAVA</t>
  </si>
  <si>
    <t>POJEDINAČNI UGOVOR - ZIMSKA SLUŽBA GRUPA 8. SESVETE – ZAPAD</t>
  </si>
  <si>
    <t>POJEDINAČNI UGOVOR - ZIMSKA SLUŽBA GRUPA 9. MAKSIMIR</t>
  </si>
  <si>
    <t>POJEDINAČNI UGOVOR - ZIMSKA SLUŽBA GRUPA 10. NOVI ZAGREB ZAPAD - JUGOISTOČNI DIO</t>
  </si>
  <si>
    <t>POJEDINAČNI UGOVOR - ZIMSKA SLUŽBA GRUPA 11. GORNJA DUBRAVA</t>
  </si>
  <si>
    <t>POJEDINAČNI UGOVOR - ZIMSKA SLUŽBA GRUPA 15. STROJNI I RUČNI UTOVAR SNIJEGA NA PODRUČJU GRADA ZAGREBA</t>
  </si>
  <si>
    <t>POJEDINAČNI UGOVOR - ZIMSKA SLUŽBA GRUPA 12. PODSUSED – VRAPČE</t>
  </si>
  <si>
    <t>NABAVA PRIGODNIH POKLON PAKETA ZA DJECU SOCIJALNO UGROŽENIH OBITELJI ZA SVETOG NIKOLU</t>
  </si>
  <si>
    <t>2. GODIŠNJI UGOVOR - NABAVA PREHRAMBENIH ARTIKALA ZA POTREBE DJEČJIH VRTIĆA GRADA ZAGREBA (NABAVA I ISPORUKA SVJEŽEG MESA), GRUPA 3.: ZONA 3- GORNJA DUBRAVA</t>
  </si>
  <si>
    <t>2. GODIŠNJI UGOVOR - NABAVA PREHRAMBENIH ARTIKALA ZA POTREBE DJEČJIH VRTIĆA GRADA ZAGREBA (NABAVA I ISPORUKA SVJEŽEG MESA), GRUPA 4.: ZONA 4- SESVETE, DONJA DUBRAVA</t>
  </si>
  <si>
    <t>DODATNI RADOVI UREĐENJA INSTALACIJE JAKE STRUJE I RASVJETE U IX. GIMNAZIJI</t>
  </si>
  <si>
    <t>ODRŽAVANJE SUSTAVA "AKTI GRADONAČELNIKA"</t>
  </si>
  <si>
    <t>POJEDINAČNI UGOVOR - DERATIZACIJA, DEZINSEKCIJA I DEZINFEKCIJA 1. GRUPA USLUGA PREVENTIVNE I OBVEZNE PREVENTIVNE DERATIZACIJE NA PODRUČJU GRADA ZAGREBA -I. ZONA (1. NOVI ZAGREB-ZAPAD, 2. NOVI ZAGREB-ISTOK I 3. BREZOVICA)</t>
  </si>
  <si>
    <t>POJEDINAČNI UGOVOR - DERATIZACIJA, DEZINSEKCIJA I DEZINFEKCIJA 2. GRUPA USLUGA PREVENTIVNE I OBVEZNE PREVENTIVNE DERATIZACIJE NA PODRUČJU GRADA ZAGREBA - II. ZONA (4. ČRNOMEREC, 5. GORNJI GRAD – MEDVEŠČAK, 6. PODSLJEME I 7. TREŠNJEVKA - SJEVER)</t>
  </si>
  <si>
    <t>POJEDINAČNI UGOVOR - DERATIZACIJA, DEZINSEKCIJA I DEZINFEKCIJA 5. GRUPA USLUGA PREVENTIVNE I OBVEZNE PREVENTIVNE DERATIZACIJE NA PODRUČJU GRADA ZAGREBA - V. ZONA (15. PEŠĆENICA-ŽITNJAK 16. DONJA DUBRAVA I 17. SESVETE)</t>
  </si>
  <si>
    <t>NADOGRADNJA WI-FI MAN SUSTAVA GRADA ZAGREBA</t>
  </si>
  <si>
    <t>27.02.2015.</t>
  </si>
  <si>
    <t>SANACIJA DIJELA SUSTAVA MJEŠOVITE KANALIZACIJE</t>
  </si>
  <si>
    <t>BOJE I RAZRJEĐIVAČI ZA IZRADU TANKOSLOJNE HORIZONTALNE SIGNALIZACIJE</t>
  </si>
  <si>
    <t>III ANEKS UGOVORU - SANACIJA TERASE NA LOKACIJI TRG STJEPANA KONZULA</t>
  </si>
  <si>
    <t>ZAMJENA CRNE BRAVARIJE ALUMINIJSKOM BRAVARIJOM, NOVA CESTA 1</t>
  </si>
  <si>
    <t>II GODIŠNJI UGOVOR - NABAVA TELEKOMUNIKACIJSKIH USLUGA U MOBILNOJ TELEFONIJI</t>
  </si>
  <si>
    <t>IZGRADNJA RASKRIŽJA ZAGREBAČKE CESTE I K.Č. 4765/1 K.O. VRAPČE</t>
  </si>
  <si>
    <t>POJEDINAČNI UGOVOR - ZIMSKA SLUŽBA GRUPA 14. ČIŠĆENJE I SOLJENJE JAVNIH POVRŠINA U ZIMSKIM UVJETIMA</t>
  </si>
  <si>
    <t>POJEDINAČNI UGOVOR - DERATIZACIJA, DEZINSEKCIJA I DEZINFEKCIJA 3. GRUPA USLUGA PREVENTIVNE I OBVEZNE PREVENTIVNE DERATIZACIJE NA PODRUČJU GRADA ZAGREBA - III. ZONA (8. PODSUSED-VRAPČE 9. STENJEVEC I 10. TREŠNJEVKA-JUG)</t>
  </si>
  <si>
    <t>POJEDINAČNI UGOVOR - USLUGA OGLAŠAVANJA</t>
  </si>
  <si>
    <t>POJEDINAČNI UGOVOR - ODRŽAVANJE, FUNKCIONALNA NADOGRADNJA, REZERVNI DIJELOVI I OPREMA SUSTAVA ZA AUTOMATSKU NAPLATU PRIJEVOZA</t>
  </si>
  <si>
    <t>II. GODIŠNJI UGOVOR - NABAVA TELEKOMUNIKACIJSKIH USLUGA U FIKSNOJ TELEFONIJI I USLUGA PRISTUPA INTERNETU</t>
  </si>
  <si>
    <t>ANEKS UGOVORU - USLUGA BOLNIČKOG LIJEČENJA MEDICINSKOM REHABILITACIJOM HRVI-A IZ DOMOVINSKOG RATA 3. GRUPA: SKUPINA III- HRVI I. SKUPIINE SA 100% TJELESNOG OŠTEĆENJA S PRATITELJEM</t>
  </si>
  <si>
    <t>GODIŠNJI UGOVOR - ODRŽAVANJE SUSTAVA PARKING VIDEO NADZOR</t>
  </si>
  <si>
    <t>ANEKS UGOVORU - SANACIJA ULIČNOG I DVORIŠNIH PROČELJA I KROVA ZGRADE, PRERADOVIĆEVA 13</t>
  </si>
  <si>
    <t>SPORAZUM O RASKIDU OKVIRNOG SPORAZUMA - NAFTNI DERIVATI GRUPA I – BENZINSKO I DIESEL GORIVO</t>
  </si>
  <si>
    <t>SPORAZUM O RASKIDU OKVIRNOG SPORAZUMA - NAFTNI DERIVATI GRUPA II – DIESEL GORIVO</t>
  </si>
  <si>
    <t>SPORAZUM O RASKIDU OKVIRNOG SPORAZUMA - NAFTNI DERIVATI GRUPA III – LOŽIVO ULJE EXTRA LAKO</t>
  </si>
  <si>
    <t>POJEDINAČNI UGOVOR - RAČUNALNA OPREMA</t>
  </si>
  <si>
    <t>USLUGA ISPITIVANJA, REPARIRANJA I OVJERAVANJA PLINOMJERA, REGULATORA TLAKA, KOREKTORA OBUJMA PLINA I ISPITIVANJE NA ZAHTJEV KORISNIKA</t>
  </si>
  <si>
    <t>NABAVA I UGRADNJA RASHLADNIH KOMORA U CENTRALNOJ KUHINJI S VATRODOJAVOM ZA KLINIKU ZA PSIHIJATRIJU VRAPČE</t>
  </si>
  <si>
    <t>10.02.2015.</t>
  </si>
  <si>
    <t>ANEKS UGOVORU - MREŽICE ZA PLINSKE SVJETILJKE</t>
  </si>
  <si>
    <t>II.ANEKS UGOVORU - IZGRADNJA NISKOTLAČNOG PLINOVODA GORNJI GRAD - MESNIČKA - BREZOVAČKOG</t>
  </si>
  <si>
    <t>POJEDINAČNI UGOVOR - REZERVNI DIJELOVI ZA VODOMJERE MARKE IKOM</t>
  </si>
  <si>
    <t>RADOVI NA ODRŽAVANJU TRAMVAJSKE PRUGE - SAVSKA CESTA OD ULICE GRADA VUKOVARA DO VODNIKOVE ULICE</t>
  </si>
  <si>
    <t>NABAVA INFORMATIČKE OPREME</t>
  </si>
  <si>
    <t>ANEKS UGOVORU - IZVOĐENJE RADOVA DOPUNI SEMAFORIZIRANIH RASKRIŽJA NA BJELOVARSKOJ OD V. NAZORA DO JELKOVEČKE</t>
  </si>
  <si>
    <t>USLUGE PRIVATNE ZAŠTITE GRUPA 1: USLUGE TJELESNE ZAŠTITE OSOBA I IMOVINE U GRADSKIM JAVNIM USTANOVAMA KULTURE-MUZEJI</t>
  </si>
  <si>
    <t>USLUGE PRIVATNE ZAŠTITE GRUPA 2: USLUGE TJELESNE ZAŠTITE OSOBA I IMOVINA U GRADSKIM JAVNIM USTANOVAMA KULTURE -OSTALE USTANOVE</t>
  </si>
  <si>
    <t>USLUGE PRIVATNE ZAŠTITE GRUPA 3: USLUGA TJELESNE ZAŠTITE OSOBA I IMOVINE-GRADSKE MANIFESTACIJE U KULTURI</t>
  </si>
  <si>
    <t>USLUGE PRIVATNE ZAŠTITE GRUPA 4: USLUGE TJELESNE ZAŠTITE OSOBA I IMOVINE U USTANOVI UPRAVLJANJE SPORTSKIM OBJEKTIMA</t>
  </si>
  <si>
    <t>USLUGE PRIVATNE ZAŠTITE GRUPA 5: USLUGE TJELESNE ZAŠTITE OSOBA I IMOVNE U USTANOVI ZOOLOŠKI VRT</t>
  </si>
  <si>
    <t>USLUGE PRIVATNE ZAŠTITE GRUPA 6: USLUGE TJELESNE ZAŠTITE OSOBA I IMOVINE U JAVNOJ USTANOVI "MAKSIMIR"</t>
  </si>
  <si>
    <t>USLUGE PRIVATNE ZAŠTITE GRUPA 7: USLUGE TJELESNE ZAŠTITE I IMOVINE: STANOVA, POSLOVNIH PROSTORA I KOMPLEKSA</t>
  </si>
  <si>
    <t>USLUGE PRIVATNE ZAŠTITE GRUPA 8: USLUGE TJELESNE ZAŠTITE OSOBA I IMOVINE-ZAGREBAČKI HOLDING</t>
  </si>
  <si>
    <t>2. GODIŠNJI UGOVOR - USLUGA ODRŽAVANJA UREĐAJA I POSTROJENJA U OBJEKTIMA GRADSKE UPRAVE: 3. GRUPA - ODRŽAVANJE UPS-A (NEPREKIDNO NAPAJANJE)</t>
  </si>
  <si>
    <t>ANEKS UGOVORU- SANACIJA PROČELJA I KROVA - PRERADOVIĆEVA 14</t>
  </si>
  <si>
    <t>TISKARSKE USLUGE</t>
  </si>
  <si>
    <t>GEODETSKI PROJEKTI  ZA KLIZIŠTA</t>
  </si>
  <si>
    <t>GODIŠNJI UGOVOR - NADOGRADNJA I ODRŽAVANJE APLIKATIVNOG RJEŠENJA ZA DERATIZACIJU, DEZINFEKCIJU I DEZINSEKCIJU</t>
  </si>
  <si>
    <t>IZGRADNJA I SANACIJA VODOOPSKRBNE MREŽE NA PODRUČJU GRADA ZAGREBA I SAMOBORA</t>
  </si>
  <si>
    <t>ENDOSKOPSKI STUP ZA OPERACIJSKI BLOK KB SVETI DUH</t>
  </si>
  <si>
    <t>IZGRADNJA SREDNJETLAČNOG PLINOVODA NA LOKACIJI HRVATSKI LESKOVAC - I. ETAPA</t>
  </si>
  <si>
    <t>ODRŽAVANJE NADSTREŠNICA JAVNOG GRADSKOG PRIJEVOZA U GRADU ZAGREBU</t>
  </si>
  <si>
    <t>RADNA OBUĆA, ODJEĆA I ODJEVNI DODACI ZA KOMUNALNO I PROMETNO REDARSTVO</t>
  </si>
  <si>
    <t>DODATNI RADOVI NA UREĐENJU OBJEKTA GRADSKE UPRAVE NA LOKACIJI LJUDEVITA POSAVSKOG 48</t>
  </si>
  <si>
    <t>ANEKS UGOVORU - PRIGODNO UKRAŠAVANJE ZA BOŽIĆNO I NOVOGODIŠNJE UREĐENJE GRADA ZAGREBA 2014./2015.</t>
  </si>
  <si>
    <t>II ANKES UGOVORU - IZGRADNJA ULICA OZNAKA: 5,13 I 14, S OBORINSKOM ODVODNJOM, TE IZGRADNJOM INFRASTRUKTURNOG SUSTAVA ZA OBORINSKU ODVODNJU</t>
  </si>
  <si>
    <t>ANEKS UGOVORU - IZRADA IDEJNOG RJEŠENJA SUSTAVA OBORINSKE ODVODNJE PROMETNICA U JUŽNOM DIJELU GRADA ZAGREBA (JUŽNO OD RIJEKE SAVE)</t>
  </si>
  <si>
    <t>ARHITEKTONSKO I FOTOGRAMETRIJSKO SNIMANJE ARKADA NA GROBLJU MIROGOJ</t>
  </si>
  <si>
    <t>SPORAZUM O RASKIDU UGOVORA - IZGRADNJA ODVOJKA ULICE DONJE VRAPČE S KOMUNALNOM INFRASTRUKTUROM</t>
  </si>
  <si>
    <t>NABAVA DODATNIH UDŽBENIKA ZA UČENIKE OSNOVNIH I SREDNJIH ŠKOLA  GRADA ZAGREBA - NAKLADNIK MERIDIJANI, IZDAVAČKA KUĆA</t>
  </si>
  <si>
    <t>IZRADA TEHNIČKE DOKUMENTACIJE ZA REKONSTRUKCIJU ZGRADE U PROSTOR ZA RADNU TERAPIJU I REHABILITACIJU  CENTAR ZA PSIHOEDUKACIJU PACIJENATA I NJIHOVIH OBITELJI</t>
  </si>
  <si>
    <t>04.02.2015.</t>
  </si>
  <si>
    <t>ANEKS UGOVORU - RADOVI NA ODRŽAVANJU TRAMVAJSKE PRUGE - SARAJEVSKA CESTA</t>
  </si>
  <si>
    <t>RTG UREĐAJ, C-LUKA ZA OPERACIJSKI BLOK KB SVETI DUH</t>
  </si>
  <si>
    <t>II GODIŠNJI UGOVOR - NABAVA USLUGE ODRŽAVANJA UREĐAJA I POSTROJENJA U OBJEKTIMA GRADSKE UPRAVE: 1. GRUPA - ODRŽAVANJE AGREGATA</t>
  </si>
  <si>
    <t>ODRŽAVANJE POSLOVNO-SIGURNOSNOG SUSTAVA "IDENTIXL"</t>
  </si>
  <si>
    <t>DODATNI RADOVI NA SANACIJI KLIZIŠTA U ULICI ČESMIČKOG</t>
  </si>
  <si>
    <t>UREĐENJE AUTOBUSNOG UGIBALIŠTA I UREĐENJE POTHODNIKA U BRANIMIROVOJ ULICI</t>
  </si>
  <si>
    <t>NABAVA DODATNIH UDŽBENIKA ZA UČENIKE OSNOVNIH I SREDNJIH ŠKOLA GRADA ZAGREBA - NAKLADNIK LJEVAK D.O.O.</t>
  </si>
  <si>
    <t>ANEKS UGOVORU - REKONSTUKCIJA MESNIČKE, STRELJAČKE I DIJELA ULICE BREZOVAČKOG</t>
  </si>
  <si>
    <t>ANEKS UGOVORU - IZRADA PROJEKTNE DOKUMENTACIJE ZA IZGRADNJU VODOOPSKRBNOG CJEVOVODA U ULICAMA: MIROŠEVEČKA CESTA I MRNJAKI II. TE JAVNOG KANALA U ULICAMA: MIROŠEVEČKA CESTA I MRNJAKI II.</t>
  </si>
  <si>
    <t>SANACIJA CESTA I KANALIZACIJE NA GROBLJU MIROGOJ</t>
  </si>
  <si>
    <t>IZGRADNJA PRISTUPNE PROMETNICE NA ULICU VUKOMEREC</t>
  </si>
  <si>
    <t>POJEDINAČNI UGOVOR - NOSAČI I OVJESNI PRIBOR GORNJEG VODA</t>
  </si>
  <si>
    <t>PROIZVODI OD ŽELJEZA I ČELIKA</t>
  </si>
  <si>
    <t>SANACIJA KROVA DJEČJEG VRTIĆA JARUN, PODRUČNI OBJEKT PANDAKOVIĆEVA</t>
  </si>
  <si>
    <t>GODIŠNJI UGOVOR - UKLANJANJA OBJEKATA LJETNIH TERASA, POKRETNIH NAPRAVA, REKLAMNIH PANOA I OZNAKA TE OSTALOG MATERIJALA</t>
  </si>
  <si>
    <t>II GODIŠNJI UGOVOR - ODRŽAVANJE I NADOGRADNJA APLIKATIVNIH RJEŠENJA: MATICE ŠKOLA, PLAĆE VRTIĆA, SUSTAV ZA PODRŠKU PROGRAMIMA POTICANJA OBRTA, EVIDENCIJA IMOVINE U VLASNIŠTVU GRADA ZAGREBA I CENTRALIZIRANA NABAVA</t>
  </si>
  <si>
    <t>ANEKS UGOVORU - RADOVI ODRŽAVANJA GRAĐEVINSKIH OBJEKATA KB SVETI DUH</t>
  </si>
  <si>
    <t>SANACIJA PROČELJA ZGRADE, VLAŠKA 69</t>
  </si>
  <si>
    <t>DNEVNO I PERIODIČKO ČIŠĆENJE I PRANJE POSLOVNIH PROSTORIJA, OTVORENIH I ZATVORENIH PROSTORA SPORTSKIH OBJEKATA</t>
  </si>
  <si>
    <t>20.04.2015.</t>
  </si>
  <si>
    <t>POJEDINAČNI UGOVOR - ODRŽAVANJE APLIKATIVNOG SUSTAVA "CARPIO"</t>
  </si>
  <si>
    <t>POJEDINAČNI UGOVOR - RADOVI NA IZGRADNJI I ODRŽAVANJU KANALIZACIJSKE MREŽE GRADA ZAGREBA - HITNA SANACIJA KOLEKTORA U MAROHNIĆEVOJ ULICI</t>
  </si>
  <si>
    <t>ANEKS UGOVORU - SANACIJA ULIČNOG PROČELJA ZGRADE, GUNDULIĆEVA 57</t>
  </si>
  <si>
    <t>SANACIJA KOSOG KROVA OSNOVNE ŠKOLE MARKUŠEVEC</t>
  </si>
  <si>
    <t>ANEKS UGOVORU - UREĐENJE PROČELJA ZGRADE, TRG KRALJA TOMISLAVA 8 / ŠENOINA 2</t>
  </si>
  <si>
    <t>ANEKS UGOVORU - ZAŠTITA OBJEKATA PUTEM CENTRALNOG DOJAVNOG SUSTAVA ZA: GRUPA A) DJEČJI VRTIĆI</t>
  </si>
  <si>
    <t>ANEKS UGOVORU - ZAŠTITA OBJEKATA PUTEM CENTRALNOG DOJAVNOG SUSTAVA ZA: GRUPA B) OSNOVNE ŠKOLE</t>
  </si>
  <si>
    <t>IZGRADNJA 2. ETAPE BRANIMIROVE ULICE OD ZAVRTNICE DO HEINZELOVE - IZMJEŠTANJE 1TS1037 BRANIMIROVA ULICA</t>
  </si>
  <si>
    <t>IZVOĐENJE RADOVA NA PREMJEŠTANJU I ZAŠTITI POSTOJEĆIH ELEKTROENERGETSKIH INSTALACIJA ZA POTREBE IZGRADNJE CESTA I CESTOVNIH OBJEKATA</t>
  </si>
  <si>
    <t>ANEKS UGOVORU - ZAŠTITA OBJEKATA PUTEM CENTRALNOG DOJAVNOG SUSTAVA ZA: GRUPA C) SREDNJE ŠKOLE I UČENIČKI DOMOVI</t>
  </si>
  <si>
    <t>POJEDINAČNI UGOVOR - METLE BREZOVE</t>
  </si>
  <si>
    <t>22.04.2015.</t>
  </si>
  <si>
    <t>GODIŠNJI UGOVOR - TISKARSKE USLUGE</t>
  </si>
  <si>
    <t>DERATIZACIJA, DEZINSEKCIJA I DEZINFEKCIJA  GRUPA 4.-USLUGA PREVENTIVNE I OBVEZNE PREVENTIVNE DERATIZACIJE NA PODRUČJU GRADA ZAGREBA - IV. ZONA (DONJI GRAD, MAKSIMIR, TRNJE I GORNJA DUBRAVA)</t>
  </si>
  <si>
    <t>POJEDINAČNI UGOVOR - ELEKTRODE I ŽICE ZA ZAVARIVANJE</t>
  </si>
  <si>
    <t>POJEDINAČNI UGOVOR - SREDSTVO ZA SMANJENJE EMISIJE ISPUŠNIH PLINOVA</t>
  </si>
  <si>
    <t>NABAVA I ISPORUKA SVJEŽEG MESA PERADI ZA POTREBE DJEČJEG VRTIĆA GRADA ZAGREBA GRUPA 1.: ZONA I.-ČRNOMEREC, PODSUSED-VRAPČE,STENJEVEC, GRUPA 2.: ZONA II-DONJI GRAD,GORNJI GRAD, MEDVEŠČAK, MAKSIMIR, GRUPA 6.:ZONA VI-TREŠNJEVKA SJEVER, TREŠNJEVKA JUG</t>
  </si>
  <si>
    <t>NABAVA I ISPORUKA SVJEŽEG MESA PERADI ZA POTREBE DJEČJEG VRTIĆA GRADA ZAGREBA GRUPA 3.: ZONA III - GORNJA DUBRAVA, GRUPA 4.:ZONA IV - SESVETE, DONJA DUBRAVA, GRUPA 5.: ZONA V - TRNJE, PEŠĆENICA-ŽITNJAK, GRUPA 7.: ZONA VII - NOVI ZAGREB ISTOK, NOVI ZAGREB ZAPAD, BREZOVICA</t>
  </si>
  <si>
    <t>ANEKS UGOVORU - IZRADA PROJEKTNE DOKUMENTACIJE ZA IZGRADNJU NOGOSTUPA U ULICAMA KAMENITI STOL, ALAGOVIĆEVA - ZAPADNA STRANA I HORVATOVAC - RUŽIČNJAK</t>
  </si>
  <si>
    <t>REKONSTRUKCIJA JAVNIH KANALA U LOVINČIĆEVOJ ULICI</t>
  </si>
  <si>
    <t>POJEDINAČNI UGOVOR - TEKUĆI TEHNIČKI KLOR CL2</t>
  </si>
  <si>
    <t>23.04.2015.</t>
  </si>
  <si>
    <t>II ANEKS UGOVORU - USLUGA PROVEDBE MUZEJSKO-ISTRAŽIVAČKOG PROJEKTA ZAGREBAČKE INDUSTRIJSKE BAŠTINE</t>
  </si>
  <si>
    <t>NABAVA KRUHA I PEKARSKIH PROIZVODA ZA POTREBE DOMOVA ZA STARIJE I NEMOĆNE OSOBE</t>
  </si>
  <si>
    <t>IZGRADNJA OBORINSKE ODVODNJE I IZGRADNJA NOGOSTUPA U SOBLINEČKOJ - VARAŽDINSKOJ CESTI U SESVETAMA</t>
  </si>
  <si>
    <t>II GODIŠNJI UGOVOR - ODRŽAVANJE AUTOMATSKIH VRATA I PARKIRNIH RAMPI</t>
  </si>
  <si>
    <t>DUGOROČNI KREDIT ZA FINANCIRANJE INVESTICIJSKIH PROJEKATA U GRADU ZAGREBU U IZNOSU OD 190.000.000,00 KN</t>
  </si>
  <si>
    <t>UTOVARIVAČ</t>
  </si>
  <si>
    <t>IZRADA PROJEKTNE DOKUMENTACIJE I ELEBORATA ZAŠTITE OD POŽARA  ZA  IZGRADNJU VODOOPSKRBNIH CJEVOVODA IZ PLANA MALIH KOMUNALNIH AKCIJA VIJEĆA  GRADSKE ČETVRTI SESVETE</t>
  </si>
  <si>
    <t>NABAVA UZV APARATA - GRUPA 2. - DIGITALNI ULTRAZVUČNI COLOR DOPPLER SUSTAV- PRIMJENA DOPPLER KAROTIDNIH ARTERIJA I TCD</t>
  </si>
  <si>
    <t>06.03.2015.</t>
  </si>
  <si>
    <t>SANACIJA KROVA U OSNOVNOJ ŠKOLI SESVETE</t>
  </si>
  <si>
    <t>NABAVA SVJEŽEG MESA - PERADI ZA POTREBE DOMOVA ZA STARIJE I NEMOĆNE OSOBE  I USTANOVU DOBRI DOM GRADA ZAGREBA</t>
  </si>
  <si>
    <t>NABAVA MLIJEKA I MLIJEČNIH PROIZVODA ZA POTREBE DOMOVA ZA STARIJE I NEMOĆNE OSOBE, USTANOVU DOBRI DOM GRADA ZAGREBA I DOM ZA DJECU I ODRASLE ŽRTVE OBITELJSKOG NASILJA DUGA - ZAGREB</t>
  </si>
  <si>
    <t>BRISAČI I DIJELOVI BRISAČA TRAMVAJA</t>
  </si>
  <si>
    <t>POJEDINAČNI UGOVOR - VODOMJERI</t>
  </si>
  <si>
    <t>13.04.2015.</t>
  </si>
  <si>
    <t>NABAVA ANALIZATORA ZA DOMOVE ZDRAVLJA - GRUPA 2. ANALIZATOR ZA KOMPLETNU ANALIZU URINA (TRAKA + SEDIMENT)</t>
  </si>
  <si>
    <t>FILTERI ZA DIJALIZU</t>
  </si>
  <si>
    <t>UREĐAJI ZA MAMOGRAFIJU ZA DOMOVE ZDRAVLJA</t>
  </si>
  <si>
    <t>20.03.2015.</t>
  </si>
  <si>
    <t>ANEKS UGOVORU - USLUGE IZRADE VJEŠTAČKOG NALAZA ZA UTVRĐIVANJE TRŽIŠNE VRIJEDNOSTI NEKRETNINA ZA PRODAJU PUTEM NATJEČAJA, PRODAJU NEPOSREDNOM POGODBOM, OSNIVANJE I PRIJENOS PRAVA GRAĐENJA, OSNIVANJE PRAVA SLUŽNOSTI I RAZVRGNUĆE SUVLASNIČKE ZAJEDNICE NA ZEMLJIŠTU U VLASNIŠTVU GRADA ZAGREBA (OSIM STANOVA, POSLOVNIH ZGRADA, POSLOVNIH PROSTORA, GARAŽA I GARAŽNIH MJESTA)</t>
  </si>
  <si>
    <t>POŠTANSKE USLUGE GRUPA 3. - OSTALE POŠTANSKE USLUGE</t>
  </si>
  <si>
    <t>POŠTANSKE USLUGE GRUPA 2. - POŠTANSKE USLUGE U MEĐUNARODNOM PROMETU ZA POTREBE GRADA ZAGREBA, ZAGREBAČKOG HOLDINGA D.O.O., AGM D.O.O., GRADSKE PLINARE ZAGREB D.O.O., GRADSKE PLINARE ZAGREB-OPSKRBA D.O.O., GRADSKO STAMBENO KOMUNALNO GOSPODASRTVO D.O.O., VODOOPSKRBE I ODVODNJE D.O.O. I USTANOVE ZOOLOŠKI VRT GRADA ZAGREBA</t>
  </si>
  <si>
    <t>NABAVA UZV APARATA  GRUPA 1 – DIGITALNI ULTRAZVUČNI COLOR DOPPLER SUSTAV–PRIMJENA NA RADIOLOGIJI, GRUPA 3 – DIGITALNI ULTRAZVUČNI COLOR DOPPLER SUSTAV–PRIMJENA U GINEKOLOGIJI, GRUPA 4 – UZV COLOR DOPPLER SA KARDIOLOŠKOM SONDOM</t>
  </si>
  <si>
    <t>TRAKASTE ZAVJESE I ŽALUZINE</t>
  </si>
  <si>
    <t>IZGRADNJA OTVORENOG ŠPORTSKOG IGRALIŠTA UZ OBJEKT PODRUČNE ŠKOLE VUGROVEC OSNOVNE ŠKOLE VUGROVEC - KAŠINA</t>
  </si>
  <si>
    <t>SANACIJA KOSIH KROVOVA OSNOVNE ŠKOLE MIROSLAVA KRLEŽE,</t>
  </si>
  <si>
    <t>I. FAZA SANACIJE INSTALACIJE JAKE I SLABE STRUJE I RASVJETE U OSNOVNOJ ŠKOLI DOBRIŠE CESARIĆA</t>
  </si>
  <si>
    <t>ZAŠTITNA VATROGASNA ODJEĆA I OBUĆA - GRUPA C: ZAŠTITNE VATROGASNE RUKAVICE</t>
  </si>
  <si>
    <t>POJEDINAČNI UGOVOR - REZERVNI DIJELOVI I ZAMJENSKE SPRAVE ZA DJEČJA IGRALIŠTA PROIZVOĐAČA "USLUGA"</t>
  </si>
  <si>
    <t>KUPNJA MOTORNIH VOZILA GRUPA 6. VOZILA ZA HITNU MEDICINSKU POMOĆ</t>
  </si>
  <si>
    <t>II GODIŠNJI UGOVOR - NABAVA I POSTAVA ROLETA U OBJEKTIMA GRADSKE UPRAVE</t>
  </si>
  <si>
    <t>ANEKS UGOVORU - POJEDINAČNI UGOVOR - USLUGA PRIVREMENOG ZAPOŠLJAVANJA RADNIKA</t>
  </si>
  <si>
    <t>IZGRADNJA SERVISNE CESTA NA SLAVONSKU AVENIJU S KOMUNALNOM INFRASTRUKTUROM</t>
  </si>
  <si>
    <t>GODIŠNJI UGOVOR - ODRŽAVANJE KOMUNIKACIJSKIH I TELEFAKS UREĐAJA, INSTALACIJE I OPREME</t>
  </si>
  <si>
    <t>KEMIJSKO ČIŠĆENJE, PRANJE I GLAČANJE ODJEĆE I OSTALIH TKANINA</t>
  </si>
  <si>
    <t>IZVEDBA RADOVA NA IZRADI INVALIDSKOG DIZALA U OBJEKTU STARA GRADSKA VIJEĆNICA</t>
  </si>
  <si>
    <t>POJEDINAČNI UGOVOR - SREDSTVA ZA ZAŠTITU BILJA</t>
  </si>
  <si>
    <t>USLUGA UNAPRJEĐIVANJA I ODRŽAVANJA INTERNET PORTALA I CMS SUSTAVA  GRUPA 1. USLUGA UNAPRJEĐIVANJA I ODRŽAVANJA INTERNET PORTALA I CMS SUSTAVA – ODRŽAVANJE I NADOGRADNJA INTERNET PREZENTACIJE ZA POTREBE PODRUŽNICA I OVISNIH DRUŠTAVA ZAGREBAČKOG HOLDINGA D.O.O.; GRUPA 2. USLUGA UNAPRJEĐIVANJA I ODRŽAVANJA INTERNET PORTALA I CMS SUSTAVA - ZA POTREBE GRADA ZAGREBA</t>
  </si>
  <si>
    <t>NABAVA STAKLA, ORMARIĆA, KRAKOVA, STUPOVA I OSTALOG MATERIJALA ZA ODRŽAVANJE JAVNE RASVJETE</t>
  </si>
  <si>
    <t>IV ANEKS UGOVORU - IZRADA PROJEKTNE DOKUMENTACIJE ZA GRADNJU JAVNOG KANALA U ULICAMA: BRANOVEČINA, BRANOVEČKA C., DUDAKI ŽUGLIĆI, FABIJANIĆEVA ODVOJAK KOD KBR. 10, KUNTIĆI, NOVAČKI ZAVOJ, PUKLEKI, RAKEKI OD KBR. 22, STRAŽNJIČKI PUT ODVOJAK 1. I 5., MARIJE SNJEŽNE-IŠTVANIĆI I ŽITNA</t>
  </si>
  <si>
    <t>IZRADA PROJEKTNE DOKUMENTACIJE ZA PREINAKE  OBJEKATA MJESNE SAMOUPRAVE: ČUČERJE, DANKOVEC, DUBEC, DUBRAVA - SREDIŠTE, GORNJA DUBRAVA, GRANEŠINA, GRANEŠINSKI  NOVAKI, KLAKA, MIROŠEVEC, NOVOSELEC, OPOROVEC, POLJANICE I TRNOVČICA RADI PRISTUPAČNOSTI OSOBA S INVALIDITETOM I OSOBA SMANJENE POKRETLJIVOSTI</t>
  </si>
  <si>
    <t>GODIŠNJI UGOVOR - AUTO GUME</t>
  </si>
  <si>
    <t>15.04.2015.</t>
  </si>
  <si>
    <t>POJEDINAČNI UGOVOR - STROJNI UTOVAR, PRIJEVOZ I DEPONIRANJE VIŠKA ZEMLJE</t>
  </si>
  <si>
    <t>10.04.2015.</t>
  </si>
  <si>
    <t>IZRADA PROJEKNE DOKUMENTACIJE DOPUNE SEMAFORSKE INSTALACIJE I INSTALIRANJE INOVIRANIH SIGNALNIH SEMAFORSKIH PROGRAMA NA ZAGREBAČKOJ AVENIJI OD SVILKOVIĆA DO T. UJEVIĆA</t>
  </si>
  <si>
    <t>PROVEDBA PROJEKTA URBANE REVITALIZACIJA JAVNIH PROSTORA U GRADU ZAGREBU-ZAGREB ZA MENE</t>
  </si>
  <si>
    <t>PROFILI LIMENI SAVIJENI KOLNOG ORMARA TRAMVAJA</t>
  </si>
  <si>
    <t>ANEKS UGOVORU - IZGRADNJA ODVOJKA POPOVEČKE ULICE</t>
  </si>
  <si>
    <t>GODIŠNJI UGOVOR - ODRŽAVANJE JAVNIH SATOVA NA PODRUČJU GRADA ZAGREBA</t>
  </si>
  <si>
    <t>IV ANEKS UGOVORU - IZRADA PROJEKTNE DOKUMENTACIJE ZA GRADNJU JAVNOG KANALA U ZADVORSKOM: KAŠINCI, ZADVORSKA, KRUŽNA, PEKARSKA; U DESPRIMU: DESPRIMSKA, DREŽNIK, RAVNA; ODRANSKOM STRMCU: ČRNILO I STRMEČKA CESTA</t>
  </si>
  <si>
    <t>IV ANEKS UGOVORU - IZRADA PROJEKTNE DOKUMENTACIJE ZA GRADNJU VODOOPSKRBNOG CJEVOVODA U ULICAMA: A. ARBANASA I. ODVOJAK 7-12, A. ARBANASA I. ODVOJAK OD KBR. 12 DO K.Č. 3644/2,  ULICA SV. IZIDORA 9-9F, SALJSKA, F. MALNARA IX. ODVOJAK, SISAČKA CESTA II. ODVOJAK, ČAVOGLAVSKA,POSEDARSKA, BURIĆEVA, SINJSKA I LUKORANSKA.</t>
  </si>
  <si>
    <t>ISPITIVANJE OTPADNIH VODA NA KONTROLNIM MJERNIM OKNIMA</t>
  </si>
  <si>
    <t>POPRAVAK I REZERVNI DIJELOVI PRETVARAČA NAPONA NA INFORMATIVNIM STUPOVIMA NOSAČIMA DISPLEJA</t>
  </si>
  <si>
    <t>IZGRADNJA VODOOPSKRBNE MREŽE U NASELJU LEŠĆE - OTRUŠEVEC (SAMOBOR)</t>
  </si>
  <si>
    <t>POJEDINAČNI UGOVOR - KONTAKTI, PLETENICE I OSIGURAČI ZA TRAMVAJSKA VOZILA</t>
  </si>
  <si>
    <t>POJEDINAČNI UGOVOR - NABAVA USLUGA PODRŠKE I RAZVOJA INFORMACIJSKOG SUSTAVA GRADA ZAGREBA I PODRŠKA PRODUKCIJI DOKUMENATA</t>
  </si>
  <si>
    <t>II ANEKS UGOVORU - USLUGE OSIGURANJA PROVOĐENJA OVRHE ZA ISELJENJE IZ STANOVA I POSLOVNIH PROSTORA U VLASNIŠTVU I NA UPRAVLJANJU GRADA ZAGREBA</t>
  </si>
  <si>
    <t>ANALOGNI RTG UREĐAJ S OPCIJOM DIGITALIZACIJE - RTG ZA DOM ZDRAVLJA ZAGREB - ISTOK</t>
  </si>
  <si>
    <t>23.03.2015.</t>
  </si>
  <si>
    <t>KUPNJA MOTORNIH VOZILA, GRUPA 3. - OSOBNO VOZILO ZA POTREBE DOMA ZDRAVLJA ZAGREB - ISTOK</t>
  </si>
  <si>
    <t>VOZNE, PARKIRNE I PVC KARTICE</t>
  </si>
  <si>
    <t>KRATKOROČNI KUNSKI REVOLVING KREDIT S MOGUĆNOŠĆU PRODUŽENJA, GRUPA 2. - KRATKOROČNI KUNSKI REVOLVING KREDIT OD 100 MILIJUNA KUNA S MOGUĆNOŠĆU PRODUŽENJA (BROJ 1/2015-DPVPJS)</t>
  </si>
  <si>
    <t>KRATKOROČNI KUNSKI REVOLVING KREDIT S MOGUĆNOŠĆU PRODUŽENJA, GRUPA 4. - KRATKOROČNI KUNSKI REVOLVING KREDIT OD 200 MILIJUNA KUNA S MOGUĆNOŠĆU PRODUŽENJA</t>
  </si>
  <si>
    <t>GODIŠNJI UGOVOR - DERATIZACIJA, DEZINSEKCIJA I DEZINFEKCIJA 6. GRUPA OSTALE POSEBNE MJERE PREVENTIVNE I OBVEZNE PREVENTIVNE DEZINFEKCIJE, DEZINSEKCIJE I DERATIZACIJE NA PODRUČJU GRADA ZAGREBA, ZA POTREBE GRADA ZAGREBA GRADSKIH UREDA, ZAVODA, SLUŽBI, JAVNE VATROGASNE POSTROJBE GRADA ZAGREBA</t>
  </si>
  <si>
    <t>GODIŠNJI UGOVOR - DERATIZACIJA, DEZINSEKCIJA I DEZINFEKCIJA 6. GRUPA OSTALE POSEBNE MJERE PREVENTIVNE I OBVEZNE PREVENTIVNE DEZINFEKCIJE, DEZINSEKCIJE I DERATIZACIJE NA PODRUČJU GRADA ZAGREBA, ZA POTREBE GRADA ZAGREBA</t>
  </si>
  <si>
    <t>POJEDINAČNI UGOVOR - ANTITRAUMATSKE PODLOGE</t>
  </si>
  <si>
    <t>ANEKS UGOVORU - UGRADNJA FOTONAPONSKIH SUSTAVA NA GRADSKIM OBJEKTIMA</t>
  </si>
  <si>
    <t>IZRADA ELABORATA "UPRAVLJANJE BUKOM JAVNIH PRIREDBI NA OTVORENOM"</t>
  </si>
  <si>
    <t>ZAŠTITNA VATROGASNA ODJEĆA I OBUĆA GRUPA B: ZAŠTITNE VATROGASNE ČIZME</t>
  </si>
  <si>
    <t>17.03.2015.</t>
  </si>
  <si>
    <t>ZAŠTITNA VATROGASNA ODJEĆA I OBUĆA GRUPA D: ZAŠTITNE VATROGASNE CIPELE</t>
  </si>
  <si>
    <t>24.02.2015.</t>
  </si>
  <si>
    <t>POJEDINAČNI UGOVOR - PROIZVODI OD OLOVA, CINKA I KOSITRA</t>
  </si>
  <si>
    <t>ANEKS UGOVORU - PROVOĐENJE MEĐUNARODNOG NATJEČAJA EUROPAN 13</t>
  </si>
  <si>
    <t>GODIŠNJI UGOVOR - DERATIZACIJA, DEZINSEKCIJA I DEZINFEKCIJA 6. GRUPA: OSTALE POSEBNE MJERE PREVENTIVNE I OBVEZNE PREVENTIVNE DEZINFEKCIJE, DEZINSEKCIJE I DERATIZACIJE NA PODRUČJU GRADA ZAGREBA ZA POTREBE USTANOVE ZOOLOŠKI VRT GRADA ZAGREBA</t>
  </si>
  <si>
    <t>REKONSTRUKCIJA MESNIČKE, STRELJAČKE I TITUŠA BREZOVAČKOG - DODATNI RADOVI</t>
  </si>
  <si>
    <t>ŽIČANI PROIZVODI</t>
  </si>
  <si>
    <t>II ANEKS UGOVORU - IZRADA IDEJNOG RJEŠENJA SUSTAVA OBORINSKE ODVODNJE PROMETNICA U JUŽNOM DIJELU GRADA ZAGREBA (JUŽNO OD RIJEKE SAVE)</t>
  </si>
  <si>
    <t>POJEDINAČNI UGOVOR - DERATIZACIJA, DEZINSEKCIJA I DEZINFEKCIJA  GRUPA 4.-USLUGA PREVENTIVNE I OBVEZNE PREVENTIVNE DERATIZACIJE NA PODRUČJU GRADA ZAGREBA - IV. ZONA (DONJI GRAD, MAKSIMIR, TRNJE I GORNJA DUBRAVA)</t>
  </si>
  <si>
    <t>ANEKS UGOVORU - USLUGE IZRADE VJEŠTAČKOG NALAZA ZA UTVRĐIVANJE TRŽIŠNE VRIJEDNOSTI POSLOVNIH ZGRADA, POSLOVNIH PROSTORIJA, GARAŽA I GARAŽNIH MJESTA U VLASNIŠTVU GRADA ZAGREBA</t>
  </si>
  <si>
    <t>DODATNI RADOVI NA HORIZONTALNOJ I VERTIKALNOJ PROMETNOJ SIGNALIZACIJI I PRIVREMENOJ REGULACIJI PROMETA NA IZGRADNJI RADNIČKE CESTE OD ULICE KOLEDOVČINA DO ŽELJEZNIČKE PRUGE</t>
  </si>
  <si>
    <t>SANACIJA KROVA U OSNOVNOJ ŠKOLI ANTE KOVAČIĆA</t>
  </si>
  <si>
    <t>POJEDINAČNI UGOVOR - DERATIZACIJA, DEZINSEKCIJA I DEZINFEKCIJA 6. GRUPA - OSTALE POSEBNE MJERE PREVENTIVNE I OBVEZNE PREVENTIVNE DEZINFEKCIJE, DEZINSEKCIJE I DERATIZACIJE NA PODRUČJU GRADA ZAGREBA  ZA POTREBE GRADA ZAGREBA</t>
  </si>
  <si>
    <t>16.03.2015.</t>
  </si>
  <si>
    <t>NADOGRADNJA VODGIS SUSTAVA-JAVNA RASVJETA</t>
  </si>
  <si>
    <t>NABAVA BETONSKIH ELEMENATA (NEW JERSEY)</t>
  </si>
  <si>
    <t>POŠTANSKE USLUGE GRUPA 1.: POŠTANSKE USLUGE U UNUTARNJEM PROMETU</t>
  </si>
  <si>
    <t>ANEKS UGOVORU - IZGRADNJA MAGISTRALNOG VODOOPSKRBNOG CJEVOVODA ALEJA BOLOGNE - LISIČINA</t>
  </si>
  <si>
    <t>ANEKS UGOVORU - NABAVA UZV APARATA - GRUPA 2. - DIGITALNI ULTRAZVUČNI COLOR DOPPLER SUSTAV- PRIMJENA DOPPLER KAROTIDNIH ARTERIJA I TCD</t>
  </si>
  <si>
    <t>II. GODIŠNJI UGOVOR - MATERIJAL I DIJELOVI ZA TEKUĆE I INVESTICIJSKO ODRŽAVANJE</t>
  </si>
  <si>
    <t>RASKID UGOVORA - KIPARSKO RESTAURATORSKI RADOVI I REKONSTRUKCIJA PROFILIRANIH ELEMENATA ULIČNOG PROČELJA ĐORĐIĆEVA 3</t>
  </si>
  <si>
    <t>SANACIJA SREDIŠNJEG RIZALITA ISTOČNOG PROČELJA MUZEJA ZA UMJETNOST I OBRT U ZAGREBU</t>
  </si>
  <si>
    <t>ANEKS UGOVORU - IZRADA I UGRADNJA PLOČICA ZA OZNAČAVANJE ZGRADA BROJEVIMA</t>
  </si>
  <si>
    <t>SANACIJA ULIČNOG I DVORIŠNOG PROČELJA ZGRADE, MESNIČKA 1</t>
  </si>
  <si>
    <t>PROJEKT SANACIJE KLIZIŠTA U ULICI GROHOT- GLAVNICA GORNJA</t>
  </si>
  <si>
    <t>NABAVA ANALIZATORA ZA DOMOVE ZDRAVLJA, GRUPA 1. - BIOKEMIJSKI ANALIZATOR</t>
  </si>
  <si>
    <t>LINKOVI ZA SUSTAV PARKING VIDEO NADZOR</t>
  </si>
  <si>
    <t>PROJEKT SANACIJA POTPORNOG ZIDA U RADIĆEVOJ ULICI</t>
  </si>
  <si>
    <t>IZGRADNJA JAVNOG KANALA U ULICI VIDA ROČIĆA</t>
  </si>
  <si>
    <t>USLUGA TISKA SLUŽBENOG GLASNIKA GRADA ZAGREBA</t>
  </si>
  <si>
    <t>IZRADA PROJEKTNE DOKUMETNACIJE ZA RADOVE NA HITNIM SANACIJAMA KLIZIŠTA NA PODRUČJU GRADA ZAGREBA</t>
  </si>
  <si>
    <t>II. ANEKS UGOVORU - SANACIJA PROČELJA I KROVA - PRERADOVIĆEVA 14</t>
  </si>
  <si>
    <t>ANEKS UGOVORU - IZVOĐENJE RADOVA NA UREĐENJU PROMETNICA S ODVODNJOM NA PODRUČJU GRADSKIH ČETVRTI - BREZOVICA, NOVI ZAGREB ZAPAD, NOVI ZAGREB ISTOK, TRNJE I TREŠNJEVKA JUG</t>
  </si>
  <si>
    <t>SANACIJA KLIZIŠTA VELIKI VRH KOD K.BR. 80</t>
  </si>
  <si>
    <t>POJEDINAČNI UGOVOR - DNEVNO I PERIODIČKO ČIŠĆENJE I PRANJE POSLOVNIH PROSTORIJA, OTVORENIH I ZATVORENIH PROSTORA SPORTSKIH OBJEKATA</t>
  </si>
  <si>
    <t>KIPARSKO - RESTAURATORSKI I PRATEĆI RADOVI NA UREĐENJU ULIČNOG PROČELJA JURIŠIĆEVA 3</t>
  </si>
  <si>
    <t>IZRADA PROJEKTNE DOKUMENTACIJE ZA PRENAMJENU UČENIČKOG DOMA LUKE BOTIĆA ZA POTREBE HOTELIJERSKO-TURISTIČKE ŠKOLE</t>
  </si>
  <si>
    <t>GODIŠNJI UGOVOR - NABAVA KRUHA I PEKARSKIH PROIZVODA ZA POTREBE DOMOVA ZA STARIJE I NEMOĆNE OSOBE</t>
  </si>
  <si>
    <t>III. ANEKS UGOVORU - SANACIJA OSNOVNE DRVENE KONSTRUKCIJE- TEHNIČKI MUZEJ "HALA A" (II. FAZA)</t>
  </si>
  <si>
    <t>SANACIJA KLIZIŠTA NA TURČINSKOM PUTU, PARUŽEVINA</t>
  </si>
  <si>
    <t>IZRADA GEOTEHNIČKOG ELEBORATA POTREBNIH KOD PROJEKTIRANJA  VODOOPSKRBNOG CJEVOVODA I JAVNOG KANALA U ULICAMA IZ PLANA MALIH KOMUNALNIH AKCIJA VIJEĆA GRADSKE ČETVRTI GORNJA DUBRAVA</t>
  </si>
  <si>
    <t>IZRADA PROJEKTNE DOKUMENTACIJE ZA DOGRADNJU OSNOVNE ŠKOLE DR. VINKA ŽGANCA</t>
  </si>
  <si>
    <t>PROJEKT SANACIJE KLIZIŠTA U ISTARSKOJ ULICI PREKO PUTA KBR. 58-60</t>
  </si>
  <si>
    <t>TELEMETRIJSKI HIDRANTI ZA DALJINSKI NADZOR TLAKA U DMA ZONAMA S UGRADNJOM</t>
  </si>
  <si>
    <t>RAZNI UREDSKI POTROŠNI MATERIJAL ZA 2015.</t>
  </si>
  <si>
    <t>ANEKS UGOVORU- SANACIJA OBJEKTA DOMA ZA STARIJE I NEMOĆNE OSOBE "MEDVEŠČAK"</t>
  </si>
  <si>
    <t>III. ANEKS UGOVORU - IZRADA PROJEKTNE DOKUMENTACIJE ZA POSTAVU STUPOVA I JAVNE RASVJETE U ULICAMA: DRAGUTINA DOMJANIĆA-PRIGORSKA ULICA, JESENOVEČKA CESTA, ODVOJAK BOLČEVIĆI - PRIGORSKA ULICA, PRIGORSKA ULICA</t>
  </si>
  <si>
    <t>GODIŠNJI UGOVOR - RADNA OBUĆA, ODJEĆA I ODJEVNI DODACI ZA KOMUNALNO I PROMETNO REDARSTVO</t>
  </si>
  <si>
    <t>ANEKS UGOVORU - SANACIJA KLIZIŠTA DUBRAVKIN PUT</t>
  </si>
  <si>
    <t>STRUČNI NADZOR NAD ODRŽAVANJEM JAVNE RASVJETE NA PODRUČJU GRADA ZAGREBA</t>
  </si>
  <si>
    <t>FOLIJE, TRAKE, BOJE ZA SITOTISAK I PRIBOR ZA VERTIKALNU I HORIZONTALNU SIGNALIZACIJU</t>
  </si>
  <si>
    <t>SANACIJA ULIČNOG I DVORIŠNOG PROČELJA I KROVA ZGRADE, KURELČEVA 1 -VLAŠKA</t>
  </si>
  <si>
    <t>KAMEN I KAMENI AGREGATI - ERUPTIVNI</t>
  </si>
  <si>
    <t>ENERGETSKA OBNOVA DV ZVONČIĆ, HANAMANOVA 3A</t>
  </si>
  <si>
    <t>IV. GODIŠNJI UGOVOR O NABAVI ULJA ZA LOŽENJE EKSTRA LAKOG</t>
  </si>
  <si>
    <t>IZGRADNJA BETONSKIH GROBNICA I GROBNIH OKVIRA</t>
  </si>
  <si>
    <t>GODIŠNJI UGOVOR - NABAVA SVJEŽEG MESA - PERADI ZA POTREBE DOMOVA ZA STARIJE I NEMOĆNE OSOBE  I USTANOVU DOBRI DOM GRADA ZAGREBA</t>
  </si>
  <si>
    <t>ANEKS UGOVORU - SANACIJA KLIZIŠTA U GAJEVOJ ULICI, GLAVNICA GORNJA</t>
  </si>
  <si>
    <t>III. ANEKS UGOVORU - IZGRADNJA ULICA OZNAKA: 5,13 I 14, S OBORINSKOM ODVODNJOM, TE IZGRADNJOM INFRASTRUKTURNOG SUSTAVA ZA OBORINSKU ODVODNJU</t>
  </si>
  <si>
    <t>PROJEKT SANACIJE PROPUSTA U BREZOVIČKOJ ULICI KOD K.BR. 99</t>
  </si>
  <si>
    <t>REZERVNI DIJELOVI I POPRAVAK VALJAKA MARKE BOMAG</t>
  </si>
  <si>
    <t>KONTROLNA ISPITIVANJA MATERIJALA I RADOVA NAD REDOVNIM ODRŽAVANJEM NERAZVRSTANIH CESTA NA PODRUČJU GRADA ZAGREBA</t>
  </si>
  <si>
    <t>IZRADA PROJEKTNE DOKUMENTACIJE ZA REKONSTRUKCIJE KOTLOVNICA U PODRUŽNICI ZRINJEVAC</t>
  </si>
  <si>
    <t>I. GODIŠNJI UGOVOR - POŠTANSKE USLUGE GRUPA 1.: POŠTANSKE USLUGE U UNUTARNJEM PROMETU</t>
  </si>
  <si>
    <t>I. GODIŠNJI UGOVOR - POŠTANSKE USLUGE GRUPA 2. - POŠTANSKE USLUGE U MEĐUNARODNOM PROMETU</t>
  </si>
  <si>
    <t>I. GODIŠNJI UGOVOR - POŠTANSKE USLUGE GRUPA 3. - OSTALE POŠTANSKE USLUGE</t>
  </si>
  <si>
    <t>ANEKS UGOVORU - ZEKAEM - SANACIJA KROVA</t>
  </si>
  <si>
    <t>ANEKS UGOVORU - OŠ PETRA ZRINSKOG, SANACIJA PROZORA II. FAZA</t>
  </si>
  <si>
    <t>I. GODIŠNJI UGOVOR - NABAVA I ISPORUKA SVJEŽEG MESA PERADI ZA POTREBE DJEČJEG VRTIĆA GRADA ZAGREBA GRUPA 1.: ZONA I.-ČRNOMEREC, PODSUSED-VRAPČE,STENJEVEC, GRUPA 2.: ZONA II-DONJI GRAD,GORNJI GRAD, MEDVEŠČAK, MAKSIMIR, GRUPA 6.:ZONA VI-TREŠNJEVKA SJEVER, TREŠNJEVKA JUG</t>
  </si>
  <si>
    <t>I. GODIŠNJI UGOVOR - NABAVA I ISPORUKA SVJEŽEG MESA PERADI ZA POTREBE DJEČJEG VRTIĆA GRADA ZAGREBA GRUPA 3.: ZONA III - GORNJA DUBRAVA, GRUPA 4.:ZONA IV - SESVETE, DONJA DUBRAVA, GRUPA 5.: ZONA V - TRNJE, PEŠĆENICA-ŽITNJAK, GRUPA 7.: ZONA VII - NOVI ZAGREB ISTOK, NOVI ZAGREB ZAPAD, BREZOVICA</t>
  </si>
  <si>
    <t>STRUČNI NADZOR NAD REDOVNIM ODRŽAVANJEM NERAZVRSTANIH CESTA NA PODRUČJU GRADA ZAGREBA GRUPA 1. GRADSKE ČETVRTI (TRNJE, TREŠNJEVKA JUG, NOVI ZAGREB ISTOK I ZAPAD, BREZOVICA)</t>
  </si>
  <si>
    <t>GEODETSKI NADZOR NAD REDOVNIM ODRŽAVANJEM NERAZVRSTANIH CESTA NA PODRUČJU GRADA ZAGREBA GRUPA 2. GRADSKE ČETVRTI (SESVETE, DONJA DUBRAVA, PEŠČENICA-ŽITNJAK), GRUPA 4. GRADSKE ČETVRTI (GORNJA DUBRAVA, MAKSIMIR, PODSLJEME)</t>
  </si>
  <si>
    <t>IZGRADNJA NOGOSTUPA I JAVNOG KANALA U UTINJSKOJ ULICI</t>
  </si>
  <si>
    <t>ZAMJENA RADIJATORA I IZVEDBA NOVOG CIJEVNOG RAZVODA OSNOVNE ŠKOLE LOVRE PLEMENITOG MATAČIĆA</t>
  </si>
  <si>
    <t>ANEKS UGOVORU - USLUGA TISKA SLUŽBENOG GLASNIKA GRADA ZAGREBA</t>
  </si>
  <si>
    <t>GODIŠNJI UGOVOR - NABAVA MLIJEKA I MLIJEČNIH PROIZVODA ZA POTREBE DOMOVA ZA STARIJE I NEMOĆNE OSOBE, USTANOVU DOBRI DOM GRADA ZAGREBA I DOM ZA DJECU I ODRASLE ŽRTVE OBITELJSKOG NASILJA DUGA - ZAGREB</t>
  </si>
  <si>
    <t>NAJAM I ČIŠĆENJE KEMIJSKIH TOALETNIH KABINA</t>
  </si>
  <si>
    <t>PILOT PROJEKT KATASTRA PROMETNE INFRASTRUKTURE GRADA ZAGREBA</t>
  </si>
  <si>
    <t>NABAVA PRIGODNIH POKLON PAKETA ZA DJECU SOCIJALNO UGROŽENIH OBITELJI POVODOM BLAGDANA USKRSA</t>
  </si>
  <si>
    <t>III. GODIŠNJI UGOVOR - NABAVA PREHRAMBENIH ARTIKALA ZA POTREBE DJEČJIH VRTIĆA GRADA ZAGREBA (NABAVA I ISPORUKA MLIJEKA I MLIJEČNIH PROIZVODA) GRUPA 1.: ZONA I. – MASIMIR, GORNJI GRAD – MEDVEŠČAK, DONJI GRAD, ČRNOMEREC, PODSUSED-VRAPČE, GRUPA 2.: ZONA II. - SESVETE, GORNJA DUBRAVA, DONJA DUBRAVA, PODSLJEME, GRUPA 3.: ZONA III. – TRNJE, TREŠNJEVKA SJEVER, TREŠNJEVKA JUG, STENJEVEC I GRUPA 4.: ZONA IV. PEŠČENICA-ŽITNJAK, NOVI ZAGREB ISTOK, NOVI ZAGREB ZAPAD, BREZOVICA</t>
  </si>
  <si>
    <t>II. GODIŠNJI UGOVOR - USLUGA PREVENTIVNE I OBVEZNE PREVENTIVNE DEZINSEKCIJE KOMARACA NA PODRUČJU GRADA ZAGREBA</t>
  </si>
  <si>
    <t>ANEKS UGOVORU - POJEDINAČNI UGOVOR - ZIMSKA SLUŽBA GRUPA 14. ČIŠĆENJE I SOLJENJE JAVNIH POVRŠINA U ZIMSKIM UVJETIMA</t>
  </si>
  <si>
    <t>OBNOVA PROČELJA ZGRADE, SVAČIĆEV TRG 4</t>
  </si>
  <si>
    <t>POJEDINAČNI UGOVOR - USLUGA UNAPRJEĐIVANJA I ODRŽAVANJA INTERNET PORTALA I CMS SUSTAVA GRUPA 2. USLUGA UNAPRJEĐIVANJA I ODRŽAVANJA INTERNET PORTALA I CMS SUSTAVA - ZA POTREBE GRADA ZAGREBA</t>
  </si>
  <si>
    <t>POJEDINAČNI UGOVOR - USLUGA UNAPRJEĐIVANJA I ODRŽAVANJA INTERNET PORTALA I CMS SUSTAVA  GRUPA 2. USLUGA UNAPRJEĐIVANJA I ODRŽAVANJA INTERNET PORTALA I CMS SUSTAVA - ZA POTREBE JAVNE VATROGASNE POSTROJBE GRADA ZAGREBA</t>
  </si>
  <si>
    <t>STRUČNI NADZOR NAD REDOVNIM ODRŽAVANJEM NERAZVRSTANIH CESTA NA PODRUČJU GRADA ZAGREBA GRUPA 2. – GRADSKE ČETVRTI (SESVETE, DONJA DUBRAVA, PEŠČENICA – ŽITNJAK), GRUPA 3. – GRADSKE ČETVRTI (DONJI GRAD, GORNJI GRAD-MEDVEŠČAK, TREŠNJEVKA SJEVER, ČRNOMEREC, STENJEVEC, PODSUSED-VRAPČE), GRUPA 4. – GRADSKE ČETVRTI (GORNJA DUBRAVA, MAKSIMIR, PODSLJEME)</t>
  </si>
  <si>
    <t>DENDRO BILJE GRUPA 1. DRVEĆE-BJELOGORICA, GRUPA 2. DRVEĆE-CRNOGORICA, GRUPA 3. MEDITERANSKO DENDRO BILJE</t>
  </si>
  <si>
    <t>IZRADA STUDIJE "GEODINAMIČKA MREŽA GRADA ZAGREBA"</t>
  </si>
  <si>
    <t>OBNOVA ZABATNIH PROČELJA, KROVA, STOLARIJE I BRAVARIJE ZGRADE, PALMOTIĆEVA 18-20</t>
  </si>
  <si>
    <t>TRESET, SUPSTRATI I KORA DRVETA ZA UZGOJ BILJA</t>
  </si>
  <si>
    <t>ANEKS UGOVORU - II GODIŠNJI UGOVOR - ODRŽAVANJE I NADOGRADNJA APLIKATIVNIH RJEŠENJA: MATICE ŠKOLA, PLAĆE VRTIĆA, SUSTAV ZA PODRŠKU PROGRAMIMA POTICANJA OBRTA, EVIDENCIJA IMOVINE U VLASNIŠTVU GRADA ZAGREBA I CENTRALIZIRANA NABAVA</t>
  </si>
  <si>
    <t>UKRASNE POSUDE ZA CVIJEĆE GRUPA 1. UKRASNE POSUDE ZA CVIJEĆE OD STAKLA, KERAMIKE I TERAKOTE GRUPA 2. UKRASNE POSUDE ZA CVIJEĆE OD PLASTIKE, GRUPA 3. UKRASNE POSUDE ZA CVIJEĆE OD METALA I DRVETA, GRUPA 4. UKRASNE POSUDE ZA CVIJEĆE-BALKONSKE KOŠARE I NOSAČI</t>
  </si>
  <si>
    <t>ANEKS UGOVORU - USLUGE DOBAVE STAKLA I STAKLARSKI RADOVI</t>
  </si>
  <si>
    <t>ANEKS UGOVORU - NABAVA I POSTAVA OPREME ZA SMIRIVANJE I USMJERAVANJE PROMETA, ODRŽAVANJE POSTOJEĆIH, POSTAVA TAKTILNIH PLOČA I LINIJA VODILJA ZA SLIJEPE I  SLABOVIDNE OSOBE, ELASTIČNI STUPIĆI</t>
  </si>
  <si>
    <t>IZRADA PROJEKTNE DOKUMENTACIJE  ZA PRENAMJENU PROSTORA U VLAŠKOJ 87 ZA POTREBE GLAZBENE ŠKOLE</t>
  </si>
  <si>
    <t>ANEKS UGOVORU - SANACIJA KROVA OSNOVNE ŠKOLE ANTUNA MIHANOVIĆA</t>
  </si>
  <si>
    <t>POLIMEROM MODIFICIRANI BITUMEN</t>
  </si>
  <si>
    <t>POJEDINAČNI UGOVOR - ODRŽAVANJE I NADOGRADNJA „ILOCK", „FAX INTEGRATION POINT" (FIP) I „E-REDAR" SUSTAVA</t>
  </si>
  <si>
    <t>ANEKS UGOVORU - IZRADA PROJEKTNE DOKUMENTACIJE ZA ADAPTACIJU OBJEKTA DOMA ZA STARIJE I NEMOĆNE OSOBE "PEŠĆENICA"</t>
  </si>
  <si>
    <t>PLINIFIKACIJA KOTLOVNICE OSNOVNE ŠKOLE JORDANOVAC</t>
  </si>
  <si>
    <t>ARMATURE OD NODULARNOG LIJEVA</t>
  </si>
  <si>
    <t>II. GODIŠNJI UGOVOR - IZVOĐENJE RADOVA NA TEKUĆEM ODRŽAVANJU OBJEKATA GRADSKE UPRAVE: GRUPA 2. PODOPOLAGAČKI RADOVI</t>
  </si>
  <si>
    <t>DIJELOVI SUSTAVA VRATA ZA TRAMVAJE PROIZVOĐAČA KNORR BREMSE - DIVISION IFE</t>
  </si>
  <si>
    <t>IZVOĐENJE RADOVA NA ENERGETSKOJ OBNOVI DV PČELICA, KROVOPOKRIVAČKI RADOVI</t>
  </si>
  <si>
    <t>II. GODIŠNJI UGOVOR - AUTOMATSKA REGULACIJA TERMOTEHNIČKIH INSTALACIJA</t>
  </si>
  <si>
    <t>II. GODIŠNJI UGOVOR - IZVOĐENJE RADOVA NA TEKUĆEM ODRŽAVANJU OBJEKATA GRADSKE UPRAVE:  GRUPA 1. GRAĐEVINSKO OBRTNIČKI RADOVI</t>
  </si>
  <si>
    <t>II. ANEKS UGOVORU - SANACIJA KLIZIŠTA KVATERNIKOVA - DIVOSELSKA</t>
  </si>
  <si>
    <t>GRAĐENJE JAVNE RASVJETE PROMETNE PETLJE AVENIJE MARINA DRŽIĆA - SLAVONSKA AVENIJA</t>
  </si>
  <si>
    <t>I. ANEKS UGOVORU O PRUŽANJU USLUGA ODRŽAVANJA FOTOKOPIRNIH I ISPISNIH UREĐAJA, REG. BROJ 577/11 OD 28.09.2011</t>
  </si>
  <si>
    <t>I. ANEKS UGOVORU O POJAČANOM ODRŽAVANJU DIJELA TUŠKANOVE I VRBANIĆEVE ULICE I SANACIJI VODOOPSKRBNOG CJEVOVODA U DIJELU TUŠKANOVE ULICE, REG. BROJ 128/10 OD 25. STUDENOGA 2010.</t>
  </si>
  <si>
    <t>REVIZIJA FINANCIJSKIH IZVJEŠTAJA ZA 2010. GODINU I ZA RAZDOBLJE OD 01. SIJEČNJA DO 30. RUJNA 2011. GODINE ZA ZAGREBAČKI HOLDING D.O.O., ZAGREB (UPRAVA - DIREKCIJA ZAGREBAČKOG HOLDINGA I PODRUŽNICE: VODOOPSKRBA I ODVODNJA, ZAGREB - PARKING, ZAGREBAČKE CESTE, TRŽNICE ZAGREB I AUTOBUSNI KOLODVOR), GRADSKU PLINARU ZAGREB D.O.O., ZAGREB I GRADSKU PLINARU ZAGREB - OPSKRBA D.O.O., ZAGREB</t>
  </si>
  <si>
    <t>NABAVA NAMJEŠTAJA I OPREME ZA TRI ODGOJNE SKUPINE U DV KOLIBRI, PO NOVOSELEC</t>
  </si>
  <si>
    <t>PRUŽANJE USLUGE ORGANIZIRANOG PRIJEVOZA DJECE DJEČJIH VRTIĆA GRADA ZAGREBA, U PEDAGOŠKOJ GODINI 2011./2012. ZA DV "HRVATSKI LESKOVAC"</t>
  </si>
  <si>
    <t>PRUŽANJE USLUGA ČIŠĆENJA ODVODNJE MOSTOVA I VIJADUKATA</t>
  </si>
  <si>
    <t>IZGRADNJA VODOOPSKRBNOG CJEVOVODA U ULICAMA FERKI, ŠENCAJ I DETIŠČAK</t>
  </si>
  <si>
    <t>ENERGETSKI PREGLEDI OBJEKATA DJEČJIH VRTIĆA GRADA ZAGREBA</t>
  </si>
  <si>
    <t>STRUČNI NADZOR NAD IZGRADNJOM POTPORNOG ZIDA U ULICI ČESMIČKOG</t>
  </si>
  <si>
    <t>RESTAURACIJA NAMJEŠTAJA U PALAČI DVERCE</t>
  </si>
  <si>
    <t>GRAĐENJE JAVNE RASVJETE U ULICI ŠESTINSKI DOL - SERVISNA CESTA K.BR. 24-40</t>
  </si>
  <si>
    <t>GRAĐENJE JAVNE RASVJETE U CERSKOJ ULICI</t>
  </si>
  <si>
    <t>GRAĐENJE JAVNE RASVJETE U ODVOJKU ULICE DEDIĆI</t>
  </si>
  <si>
    <t>GRAĐENJE JAVNE RASVJETE U ŠIMUNČEVEČKOJ CESTI U SESVETAMA</t>
  </si>
  <si>
    <t>GRAĐENJE  JAVNE RASVJETE PROMETNICA NA PODRUČJU GRADSKIH ČETVRTI SESVETE, PEŠČENICA - ŽITNJAK I DONJA DUBRAVA</t>
  </si>
  <si>
    <t>GODIŠNJI UGOVOR O NABAVI ULJA ZA LOŽENJE EKSTRA LAKOG</t>
  </si>
  <si>
    <t>PRUŽANJE USLUGE IZRADE APLIKATIVNOG RJEŠENJA ZA RASPOLAGANJE POLJOPRIVREDNIM ZEMLJIŠTIMA - NADOGRADNJA SUSTAVA "CENTRIX"</t>
  </si>
  <si>
    <t>UREĐIVANJE SANITARNOG ČVORA U PROSTORIJAMA NK LUČKO</t>
  </si>
  <si>
    <t>UREĐENJE ELEKTRIČNIH INSTALACIJA JAKE I SLABE STRUJE STAROG DIJELA OBJEKTA DV SESVETE, PO NOVO BRESTJE</t>
  </si>
  <si>
    <t>SANACIJA ULIČNOG PROČELJA I KROVA STROSSMAYEROV TRG 7</t>
  </si>
  <si>
    <t>DOGRADNJA KANALSKE MREŽE U ULICI SJEVERNA - SJEVERNI ODVOJAK</t>
  </si>
  <si>
    <t>GRAĐENJE JAVNE RASVJETE U BOSANSKOJ ULICI</t>
  </si>
  <si>
    <t>I. ANEKS UGOVORU O IZRADI PROJEKTNE DOKUMENTACIJE ZA DV IZVOR,  REG. BROJ 554/11 OD 22.09.2011</t>
  </si>
  <si>
    <t>REKONSTRUKCIJA VODOOPSKRBNOG CJEVOVODA U OKUČANSKOJ ULICI OD OSJEČKE DO VUKOVARSKE</t>
  </si>
  <si>
    <t>ZAMJENA PARKETA U DVORANI ZA TJELESNU KULTURU U OŠ NAD LIPOM, NAD LIPOM 13</t>
  </si>
  <si>
    <t>IZVOĐENJE RADOVA NA IZGRADNJI KABELSKE KANALIZACIJE ZA POTREBE KOORDINACIJE SEMAFORSKIH UREĐAJA NA POTEZU AVENIJE DUBROVNIK OD ULICE SR NJEMAČKE DO CIMERMANOVE ULICE</t>
  </si>
  <si>
    <t>DOBAVA STAKLA I IZVOĐENJE STAKLARSKIH RADOVA ZA POTREBE GRADSKE UPRAVE GRADA ZAGREBA</t>
  </si>
  <si>
    <t>PROJEKTIRANJE JAVNE RASVJETE ZBOG POVEZIVANJA VEĆ IZGRAĐENIH DIJELOVA U CJELINU</t>
  </si>
  <si>
    <t>OBNOVA ULIČNOG I DVORIŠNOG PROČELJA I KROVA STAMBENE ZGRADE MESNIČKA BR.22</t>
  </si>
  <si>
    <t>IZGRADNJA RAMPE ZA OSOBE S INVALIDITETOM U BETHOVENOVOJ ULICI</t>
  </si>
  <si>
    <t>GRAĐENJE JAVNE RASVJETE U ULICI MATE LOVRAKA 13-35</t>
  </si>
  <si>
    <t>I. ANEKS UGOVORU O PRUŽANJU USLUGE STRUČNOG NADZORA NAD RADOVIMA ODRŽAVANJA NERAZVRSTANIH CESTA U GRAD. ČETVRTIMA: MAKSIMIR, PEŠĆENICA-ŽITNJAK, NOVI ZAGREB-ISTOK, NOVI ZAGREB-ZAPAD, TREŠNJEVKA-SJEVER, TREŠNJEVKA-JUG, ČRNOMEREC, GORNJA DUBRAVA, STENJEVEC, PODSUSED-VRAPČE, PODSLJEME, SESVETE I BREZOVICA, REG. BR. 557/11 OD 26.09.2011</t>
  </si>
  <si>
    <t>OBAVLJANJE USLUGE SISTEMATSKIH PREGLEDA SLUŽBENIKA GRADSKOG ZAVODA ZA ZAŠTITU SPOMENIKA KULTURE I PRIRODE</t>
  </si>
  <si>
    <t>GRAĐENJE JAVNE RASVJETE U BULINAČKOJ ULICI</t>
  </si>
  <si>
    <t>IZGRADNJA VODOOPSKRBNOG CJEVOVODA I JAVNOG KANALA U ODVOJKU ULICE IVANA PUĐAKA</t>
  </si>
  <si>
    <t>ANEKS UGOVORU O IZGRADNJI OBJEKTA DJEČJEG VRTIĆA STENJEVEC, UGAO HRNETIČKE, KOTARNICE I VLAČIĆEVE IZ PLANA MALIH KOMUNALNIH AKCIJA GRADSKE ČETVRTI STENJEVEC, REG.BR.193/10 OD 23.PROSINCA 2010.</t>
  </si>
  <si>
    <t>DOGRADNJA VODOOPSKRBNOG CJEVOVODA U ULICI II.KOZARI PUT S PRIPADAJUĆIM ODVOJKOM II</t>
  </si>
  <si>
    <t>ANEKS UGOVORU O ODRŽAVANJU I INTERVENTNIM POPRAVCIMA LOKALNIH VODOVODA NA PODRUČJU GRADSKE ČETVRTI SESVETE, REG. BR. 227/11OD 9. SVIBNJA 2011.</t>
  </si>
  <si>
    <t>IZRADA PROMIDŽBENO-INFORMATIVNOG MATERIJALA U CILJU POTICANJA IZOBRAZBE I POUČAVANJA TE INFORMIRANJA O PROBLEMATICI OTPADA U GRADU ZAGREBU</t>
  </si>
  <si>
    <t>ZAMJENA RASHLADNOG AGREGATA U JAGIĆEVOJ 31</t>
  </si>
  <si>
    <t>GRAĐENJE JAVNE RASVJETE U ALEJI HRVATSKE MLADEŽI</t>
  </si>
  <si>
    <t>NABAVA PRIGUŠNICA I PROPALJIVAČA ZA ODRŽAVANJE JAVNE RASVJETE</t>
  </si>
  <si>
    <t>PROJEKTIRANJE JAVNE RASVJETE PROMETNE PETLJE AVENIJA MARINA DRŽIĆA - SLAVONSKA AVENIJA</t>
  </si>
  <si>
    <t>IZRADA PROJEKTNE DOKUMENTACIJE I USPOSTAVA TEHNIČKIH UVJETA ZA AUTOMATSKU MJERNU POSTAJU ZA MJERENJE KAKVOĆE ZRAKA (SESVETE)</t>
  </si>
  <si>
    <t>ENERGETSKI PREGLEDI ZGRADA U VLASNIŠTVU GRADA ZAGREBA</t>
  </si>
  <si>
    <t>IZGRADNJA JAVNOG KANALA U ULICI VIDA ROČIĆA OD ULICE MEDUCIN DO K.BR. 68</t>
  </si>
  <si>
    <t>IZRADA PROMIDŽBENO-EDUAKTIVNOG  MATERIJALA U CILJU POTICANJA IZOBRAZBE I POUČAVANJA O ZAŠTITI OKOLIŠA I ODRŽIVOM RAZVOJU</t>
  </si>
  <si>
    <t>PRUŽANJE USLUGA ZAŠTITE OBJEKATA SREDNJIH ŠKOLA I UČENIČKIH DOMOVA GRADA ZAGREBA PUTEM CENTRALNOG DOJAVNOG SUSTAVA</t>
  </si>
  <si>
    <t>IZRADA PROJEKTNE DOKUMENTACIJE SANACIJE ŽELJEZNOG PJEŠAČKOG MOSTA PREKO ŽELJEZNIČKE PRUGE U KUSTOŠIJI</t>
  </si>
  <si>
    <t>PRUŽANJE USLUGE ZAŠTITE OBJEKATA OSNOVNIH ŠKOLA GRADA ZAGREBA PUTEM CENTRALNOG DOJAVNOG SUSTAVA</t>
  </si>
  <si>
    <t>IZRADA GLAVNOG I IZVEDBENOG PROJEKTA ZA REKONSTRUKCIJU-DENIVELACIJU RASKRIŽJA SLAVONSKA AVENIJA-SPOJNA CESTA-ULICA 7 S KOMUNALNOM INFRASTRUKTUROM</t>
  </si>
  <si>
    <t>IZVOĐENJE STOLARSKIH RADOVA- KUMIČIĆEVA 1 - SVAČIĆEV TRG</t>
  </si>
  <si>
    <t>SANACIJA OGRADE BALKONA - KUMIČIĆEVA 1 - SVAČIĆEV TRG</t>
  </si>
  <si>
    <t>I. ANEKS UGOVORU O IZVOĐENJU RADOVA NA OBNOVI PROČELJA I KROVA KANONIČKE KURIJE U ZAGREBU, KAPTOL 19, REG. BR. 1009/07-II OD 31. PROSINCA 2007</t>
  </si>
  <si>
    <t>IZRADA IDEJNOG PROJEKTA ZA ISHOĐENJE LOKACIJSKE DOZVOLE ZA I. ETAPU, TRG FRANJE TUĐMANA</t>
  </si>
  <si>
    <t>SANACIJA SVLAČIONICA I PROZORA U OŠ VJENCESLAVA NOVAKA</t>
  </si>
  <si>
    <t>JEDNOSTRANI RASKID UGOVORA O SANACIJI KOSOG KROVA NA OŠ BRESTJE, REG. BROJ 393/11 OD 02. KOLOVOZA 2011.</t>
  </si>
  <si>
    <t>IZRADA IDEJNOG PROJEKTA ZA IZGRADNJU PJEŠAČKE STAZE I PROŠIRENJE CESTE VUGROVEC DONJI - VUGROVEC GORNJI, ULICA AUGUSTA ŠENOE - VUGROVEČKA</t>
  </si>
  <si>
    <t>GRAĐENJE JAVNE RASVJETE U TRAKOŠČANSKOJ ULICI U SESVETAMA</t>
  </si>
  <si>
    <t>II. ANEKS UGOVORU O DOGRADNJI JAVNE RASVJETE NA PODRUČJU GRADSKIH ČETVRTI: GORNJI GRAD - MEDVEŠČAK, TRNJE, PEŠČENICA - ŽITNJAK,  NOVI ZAGREB - ISTOK, GORNJA DUBRAVA, DONJA DUBRAVA, STENJEVEC I PODSLJEME IZ PLANA MKA ZA 2010, REG. BROJ 205/10 OD 24. PROSINCA 2010.</t>
  </si>
  <si>
    <t>II. ANEKS UGOVORU O DOGRADNJI JAVNE RASVJETE NA PODRUČJU GRADSKIH ČETVRTI: DONJI GRAD, MAKSIMIR, TREŠNJEVKA-SJEVER, TREŠNJEVKA –JUG, ČRNOMEREC, PODSUSED-VRAPČE I SESVETE IZ PLANA MALIH KOMUNALNIH AKCIJA ZA 2010., REG. BROJ: 172/10 OD 15. PROSINCA 2010.</t>
  </si>
  <si>
    <t>ANEKS UGOVORU O IZRADI PROJEKTA POJAČANOG ODRŽAVANJA RASKRIŽJA DOBRODOLSKA-VUGROVEČKA, REG. BROJ 167/10 OD 10. PROSINCA 2010</t>
  </si>
  <si>
    <t>IZGRADNJA POTPORNOG ZIDA U ULICI ČESMIČKOG</t>
  </si>
  <si>
    <t>SANACIJA DVORANE TZK-A OŠ VRBANI</t>
  </si>
  <si>
    <t>AUTOMATSKA REGULACIJA TERMOTEHNIČKIH INSTALACIJA</t>
  </si>
  <si>
    <t>PROJEKTIRANJE JAVNE RASVJETE U ULICI SVETI DUH OD ILICE DO KUNIŠĆAKA</t>
  </si>
  <si>
    <t>IZGRADNJA MRTVAČNICE NA GROBLJU U RESNIKU</t>
  </si>
  <si>
    <t>NABAVA ŽARULJA ZA ODRŽAVANJE JAVNE RASVJETE - VISOKOTLAČNE NATRIJEVE ŽARULJE, 150W, 230V, 50HZ</t>
  </si>
  <si>
    <t>IZRADA IDEJNOG PROJEKTA PRODUŽENE BAŠTIJANOVE ULICE OD RUDEŠKE CESTE DO ZAGREBAČKE CESTE</t>
  </si>
  <si>
    <t>UVOĐENJE NOVIH MJERNIH PARAMETARA NA POSTAJAMA GRADSKE MREŽE</t>
  </si>
  <si>
    <t>GRAĐENJE JAVNE RASVJETE U ULICI GRANEŠINA OD MJESNOG GROBLJA DO MIROŠEVEČKE CESTE</t>
  </si>
  <si>
    <t>PRUŽANJE USLUGA PRIJEVOZA I PRIJENOSA NAMJEŠTAJA, INVENTARA, OPREME I ARHIVSKE GRAĐE ZA POTREBE GRADSKE UPRAVE GRADA ZAGREBA</t>
  </si>
  <si>
    <t>IZRADA IZVEDBENOG PROJEKTA PJEŠAČKOG HODNIKA U DOBRODOLSKOJ ULICI OD SANIRANOG KLIZIŠTA DO POTOKA MELINEC</t>
  </si>
  <si>
    <t>PRUŽANJE USLUGE ZAŠTITE OBJEKATA DJEČJIH VRTIĆA GRADA ZAGREBA PUTEM CENTRALNOG DOJAVNOG SUSTAVA</t>
  </si>
  <si>
    <t>GEOTEHNIČKI ISTRAŽNI RADOVI I IZRADA GEOTEHNIČKOG ELABORATA ZA JAVNI KANAL ODVODNJE U DIJELU ULICE ŠUŠNJEVEC</t>
  </si>
  <si>
    <t>POSTAVLJANJE SUSTAVA ZA GRIJANJE I HLAĐENJE GALERIJSKOG PROSTORA CENTRA ZA KULTURU NOVI ZAGREB</t>
  </si>
  <si>
    <t>IZRADA PROJEKTNE DOKUMENTACIJE ZA OBNOVU PALAČE GVOZDANOVIĆ, VISOKA 8</t>
  </si>
  <si>
    <t>IZRADA ELABORATA ZAŠTITE OD BUKE ZA SLAVONSKU AVENIJU OD NOVE CESTE DO KORNATSKE ULICE</t>
  </si>
  <si>
    <t>PARCIJALNA SANACIJA OPLOČENJA NA TERASI U BRAJKOVIĆEVOM PRILAZU</t>
  </si>
  <si>
    <t>IZRADA PROMIDŽBENOG MATERIJALA U CILJU OSVJEŠĆIVANJA GRAĐANA O PROBLEMATICI GOSPODARENJA OTPADOM</t>
  </si>
  <si>
    <t>I. ANEKS UGOVORU O NABAVI NAMJEŠTAJA I OPREME ZA 3 ODGOJNE SKUPINE U DJEČJEM VRTIĆU JARUN, PO HRGOVIĆI, REG. BROJ 775/11OD 27.PROSINCA 2011</t>
  </si>
  <si>
    <t>IZGRADNJA SABIRNOG KANALA U ULICAMA LETNIČKA, OLOVSKA I FUČEKI</t>
  </si>
  <si>
    <t>IZRADA PROJEKTA - POTPORNI ZID GRŠKOVIĆEVA</t>
  </si>
  <si>
    <t>PRUŽANJE USLUGE IZRADE TOPOGRAFSKE OSNOVE ZA BAZU STVARNOG KORIŠTENJA ZEMLJIŠTA GRADA ZAGREBA</t>
  </si>
  <si>
    <t>IZVOĐENJE RADOVA NA SEMAFORIZACIJI RASKRIŽJA VLAŠKA-PETROVA</t>
  </si>
  <si>
    <t>IZRADA ELABORATA MEĐUOVISNOSTI POSTOJEĆEG DALEKOVODA DV 2X110 KV TS JARUN - TS RAKITJE I PLANIRANJE VRAPČANSKE AVENIJE OD JADRANSKE AVENIJE DO MOSTA JARUN</t>
  </si>
  <si>
    <t>IZRADA GLAVNOG I IZVEDBENOG PROJEKTA REKONSTRUKCIJE RASKRIŽJA ILICA-ALEJA BOLOGNE –ULICA MAJKE TEREZIJE</t>
  </si>
  <si>
    <t>IZRADA ANALIZE MOGUĆNOSTI PRIMJENE AKTIVNIH MJERA ZAŠTITE OD BUKE</t>
  </si>
  <si>
    <t>GRAĐENJE JAVNE RASVJETE U ULICI NAD LIPOM</t>
  </si>
  <si>
    <t>GRAĐENJE JAVNE RASVJETE U ULICI PODOLJE 1-34</t>
  </si>
  <si>
    <t>IZRADA IDEJNOG PROJEKTA ZA ISHOĐENJE LOKACIJSKE DOZVOLE ZA REKONSTRUKCIJU RASKRIŽJA ULICA GRADA VUKOVARA - ULICA KRUGE</t>
  </si>
  <si>
    <t>ZAMJENA KOTLA ZA CENTRALNO GRIJANJE U PODRUČNOM UREDU TREŠNJEVKA</t>
  </si>
  <si>
    <t>SANACIJA ŠPORTSKE DVORANE OŠ MATIJE GUPCA</t>
  </si>
  <si>
    <t>IZRADA IZVJEŠĆA ODRŽAVANJA IZ APLIKACIJE GOSJAR</t>
  </si>
  <si>
    <t>ODRŽAVANJE APLIKACIJE GOSJAR</t>
  </si>
  <si>
    <t>SANACIJA ŠPORTSKE DVORANE U PŠ ADAMOVEC - OŠ IVANA GRANĐE</t>
  </si>
  <si>
    <t>PRUŽANJE USLUGA RAZVOJA SUSTAVA I OPREME, PROGRAMSKA PODRŠKA I ISPITIVANJA U FUNKCIJI PRIORITETA JAVNOG GRADSKOG PRIJEVOZA - CIVITAS ELAN (POSTIZANJE ODRŽIVE MOBILNOSTI)</t>
  </si>
  <si>
    <t>IZRADA IZVEDBENOG PROJEKTA JAVNE RASVJETE I IZVEDBENOG PROJEKTA IZMJEŠTANJA I ZAŠTITE POSTOJEĆE KOMUNALNE INFRASTRUKTURE ZA AUTOBUSNI TERMINAL ŽITNJAK</t>
  </si>
  <si>
    <t>UREĐENJE SANITARNOG ČVORA NA DUBRAVKINOM PUTU</t>
  </si>
  <si>
    <t>IZVOĐENJE SOBOSLIKARSKO LIČILAČKIH RADOVI NA ODRŽAVANJU OBJEKATA GRADSKE UPRAVE GRADA ZAGREBA</t>
  </si>
  <si>
    <t>PROJEKTIRANJE JAVNE RASVJETE U ULICI PROSTIŠNO</t>
  </si>
  <si>
    <t>IZRADA IDEJNOG PROJEKTA ZA REKONSTRUKCIJU RADNIČKE CESTE, OD DRŽIĆEVE DO VUKOVARSKE, UKLJUČUJUĆI RASKRIŽJE SA ZAHAROVOM</t>
  </si>
  <si>
    <t>IZRADA IDEJNOG PROJEKTA ZA ISHOĐENJE LOKACIJSKE DOZVOLE ZA VATIKANSKU ULICU OD SARAJEVSKE DO ULICE SV. MATEJA</t>
  </si>
  <si>
    <t>IZRADA ELABORATA ZAŠTITE OD BUKE ZA VRAPČANSKU AVENIJU OD JADRANSKE AVENIJE DO MOSTA JARUN</t>
  </si>
  <si>
    <t>SANACIJA SANITARIJA U OSNOVNOJ ŠKOLI GORNJE VRAPČE</t>
  </si>
  <si>
    <t>PRUŽANJE OSTALIH POŠTANSKIH USLUGA</t>
  </si>
  <si>
    <t>IZRADA TEHNIČKOG RJEŠENJA SANACIJA ODRONA U SVRHU ODRŽAVANJA NERAZVRSTANIH CESTA</t>
  </si>
  <si>
    <t>SANACIJA I UREĐENJE PROČELJA I KROVA NA STAMBENOJ GRAĐEVINI U ZAGREBU, RADIĆEVA 5</t>
  </si>
  <si>
    <t>ANEKS UGOVORU O IZRADI PROJEKTNE DOKUMENTACIJE ZA IZGRADNJU TRAFOSTANICE ZA POTREBE DOGRADNJE UPRAVNE ZGRADE NA GROBLJU MIROGOJ, REG. BROJ 357/08-II OD 05.LIPNJA 2008.</t>
  </si>
  <si>
    <t>I. ANEKS UGOVORU ZA UREĐENJE PROSTORA ZA DNEVNI CENTAR ZA UMIROVLJENIKE, REG. BR. 741/11 OD 09. PROSINCA 2011.</t>
  </si>
  <si>
    <t>IZRADA PROJEKTNE DOKUMENTACIJE ZA I. FAZU URBANISTIČKO-ARHITEKTONSKE I KONZERVATORSKE STUDIJE UREĐENJA JAVNIH PROSTORA GORNJEG GRADA</t>
  </si>
  <si>
    <t>IZRADA IDEJNOG,  GLAVNOG I IZVEDBENOG PROJEKTA AUTOBUSNIH STAJALIŠTA U ULICI I. B. MAŽURANIĆ</t>
  </si>
  <si>
    <t>REKONSTRUKCIJA JAVNE RASVJETE DIJELA SLAVONSKE AVENIJE</t>
  </si>
  <si>
    <t>IZGRADNJA OBJEKTA CENTRA ZA REHABILITACIJU ZAGREB</t>
  </si>
  <si>
    <t>OPREMANJE ZATVORENOG BAZENA OŠ MARIJE JURIĆ ZAGORKE</t>
  </si>
  <si>
    <t>KRAJOBRAZNO UREĐENJE SANACIJE KLIZIŠTA NA GROBLJU MIROGOJ UZ REMETSKU CESTU</t>
  </si>
  <si>
    <t>SANACIJA KLIZIŠTA VELKI POTOK</t>
  </si>
  <si>
    <t>GRAĐENJE JAVNE RASVJETE U NOVOTNIJEVOJ I VALJAVČEVOJ ULICI</t>
  </si>
  <si>
    <t>SANACIJA UNUTARNJIH STEPENICA I SANITARIJA OŠ HORVATI</t>
  </si>
  <si>
    <t>GRAĐENJE JAVNE RASVJETE U ADAMIĆEVOJ ULICI</t>
  </si>
  <si>
    <t>SANACIJA SUSTAVA ODVODNJE III NIVOA PETLJE DRŽIĆEVA</t>
  </si>
  <si>
    <t>IZGRADNJA LIVADARSKOG PUTA</t>
  </si>
  <si>
    <t>I. ANEKS UGOVORU O IZGRADNJI NOVE PLINSKE KOTLOVNICE OŠ KUSTOŠIJA, REG. BROJ 507/11 OD 12.09.2011</t>
  </si>
  <si>
    <t>IZRADA GEOTEHNIČKIH PROSPEKCIJA I GEOTEHNIČKIH  ISTRAŽNIH RADOVA ZA POTREBE IZGRADNJE JAVNIH CESTA I OBJEKATA JAVNOG GRADSKOG PROMETA</t>
  </si>
  <si>
    <t>ANEKS UGOVORU O IZVOĐENJU RADOVA NA OBNOVI ULIČNOG I DVORIŠNOG PROČELJA I KROVA, RADIĆEVA 50, REG. BROJ 321/11 OD 21.LIPNJA 2011.</t>
  </si>
  <si>
    <t>SANACIJA NADVOŽNJAKA NA Ž.C. 1054 I L.C. 10102</t>
  </si>
  <si>
    <t>SANACIJA PROČELJA I KROVA-JURIŠIĆEVA 14</t>
  </si>
  <si>
    <t>I. ANEKS UGOVORU O PROŠIRENJU KRIŽANJA BJELOVARSKE CESTE, REG.BROJ 214/10 OD 29. PROSINCA 2010.</t>
  </si>
  <si>
    <t>II. ANEKS UGOVORU O REKONSTRUKCIJI I KRAJOBRAZNOM UREĐENJU ŠETNICE DUBRAVKIN PUT, REG. BROJ 201/10 OD 23. PROSINCA 2010.</t>
  </si>
  <si>
    <t>UREĐENJE KATANČIĆEVE ULICE S KOMUNALNOM INFRASTRUKTUROM</t>
  </si>
  <si>
    <t>IZGRADNJA ULICE ANTUNA ŠOLJANA OD ULICE HRVATSKIH BRANITELJA DO ULICE MEDPOTOKI</t>
  </si>
  <si>
    <t>PRIPREMNI RADOVI ZA ASFALTERSKI PROGRAM</t>
  </si>
  <si>
    <t>IZRADA DALJNJEG RAZVOJA APLIKACIJE GOSJAR</t>
  </si>
  <si>
    <t>PROJEKTIRANJE JAVNE RASVJETE ŠETNICE VI. RETKOVEC I PETE POLJANICE 7-15</t>
  </si>
  <si>
    <t>ODRŽAVANJE POPLOČENJA PJEŠAČKO KOLNIH PLOHA  PJEŠAČKE ZONE UŽEG CENTRA GRADA ZAGREBA</t>
  </si>
  <si>
    <t>GRAĐENJE JAVNE RASVJETE PROMETNICA PRISAVIŠĆE 2, PRISAVIŠĆE 4 I VUČAK</t>
  </si>
  <si>
    <t>GEODETSKI NADZOR NAD SANACIJOM OPLOČENJA NA TRGU PETRA PRERADOVIĆA</t>
  </si>
  <si>
    <t>GRAĐENJE JAVNE RASVJETE U AVENIJI VEĆESLAVA HOLJEVCA OD LIDL-A DO ULICE SR NJEMAČKE</t>
  </si>
  <si>
    <t>PROJEKTIRANJE JAVNE RASVJETE SLEMENSKE CESTE OD K.BR. 141 DO STARE KARLOVAČKE CESTE</t>
  </si>
  <si>
    <t>STRUČNI NADZOR NAD SANACIJOM OPLOČENJA NA TRGU PETRA PRERADOVIĆA</t>
  </si>
  <si>
    <t>UNIVERZALNE POŠTANSKE USLUGE</t>
  </si>
  <si>
    <t>PROJEKTIRANJE JAVNE RASVJETE STAROG GRADA SUSEDGRADA</t>
  </si>
  <si>
    <t>DOGRADNJA VODOOPSKRBNOG CJEVOVODA U SVETOJ KLARI, LUKORANSKA ULICA PREMA SUNJSKOJ KOD KBR 55</t>
  </si>
  <si>
    <t>GRAĐENJE JAVNE RASVJETE PROMETNICA NA PODRUČJU GRADSKIH ČETVRTI PODSUSED - VRAPČE, STENJEVEC, ČRNOMEREC, TREŠNJEVKA - SJEVER</t>
  </si>
  <si>
    <t>GRAĐENJE JAVNE RASVJETE U BIŠČANOVOM PUTU S ODVOJCIMA</t>
  </si>
  <si>
    <t>I. ANEKS UGOVORU O PRUŽANJU USLUGA TJELESNE ZAŠTITE OSOBA I IMOVINE U GRADSKIM JAVNIM USTANOVAMA KULTURE, REG. BR. 115/11 OD 01.OŽUJKA 2011.</t>
  </si>
  <si>
    <t>GRAĐENJE JAVNE RASVJETE PROMETNICA NA PODRUČJU GRADSKIH ČETVRTI BREZOVICA, NOVI ZAGREB - ZAPAD, NOVI ZAGREB - ISTOK, TRNJE I TREŠNJEVKA - JUG</t>
  </si>
  <si>
    <t>GODIŠNJI UGOVOR O NABAVI MOTORNOG BENZINA EUROSUPER BS 95 I DIESEL GORIVA EURODIESEL BS</t>
  </si>
  <si>
    <t>PRENAMJENA PROSTORA U PO RUJANSKA - DV GRIGORA VITEZA</t>
  </si>
  <si>
    <t>PROJEKTIRANJE JAVNE RASVJETE U HAVIDIĆKOJ CESTI OD GORNJODRAGONOŠKE DO ULICE SIRKOVINA</t>
  </si>
  <si>
    <t>PROJEKTIRANJE JAVNE RASVJETE U VATROGASNOJ CESTI U KUPINEČKOM KRALJEVCU</t>
  </si>
  <si>
    <t>NABAVA OPREME ZA GRIJANJE I HLAĐENJE - KLIMA UREĐAJI</t>
  </si>
  <si>
    <t>GRAĐENJE JAVNE RASVJETE PARKA IZMEĐU MATETIĆEVE ULICE I ULICE SVILKOVIĆI</t>
  </si>
  <si>
    <t>POZICIONIRANJE ELEMENATA JAVNE RASVJETE U PROSTORU</t>
  </si>
  <si>
    <t>SANACIJA SKATE PARKA NA JARUNU</t>
  </si>
  <si>
    <t>I. ANEKS UGOVORU O SANACIJI KROVA GARAŽE U VILI ZAGREB, MOŠĆENIČKA DRAGA, REG. BR. 589/11 OD 04. LISTOPADA 2011.</t>
  </si>
  <si>
    <t>PROJEKTIRANJE JAVNE RASVJETE PARKIRALIŠTA U ULICI STJEPANA GRADIĆA 3-11</t>
  </si>
  <si>
    <t>IZGRADNJA VODOOPSKRBNOG CJEVOVODA I JAVNOG KANALA ULICE ANTUNA ŠOLJANA OD ULICE HRVATSKIH BRANITELJA DO ULICE MEDPOTOKI</t>
  </si>
  <si>
    <t>SANACIJA PROČELJA SA STOLARIJOM  U OSNOVNOJ ŠKOLI PANTOVČAK</t>
  </si>
  <si>
    <t>SANACIJA BALKONA, VANJSKE KANALIZACIJE I DIMNJAKA UMJETNIČKOG PAVILJONA</t>
  </si>
  <si>
    <t>IZGRADNJA VODOOPSKRBNOG CJEVOVODA I JAVNOG KANALA U DIJELU CANKAROVE ULICE</t>
  </si>
  <si>
    <t>NABAVA KUHINJSKE OPREME ZA OŠ GRIGORA VITEZA</t>
  </si>
  <si>
    <t>IZRADA IDEJNOG PROJEKTA ZA ULICU GRADA VUKOVARA OD ULICE DONJE SVETICE DO ULICE GRADA GOSPIĆA</t>
  </si>
  <si>
    <t>PROJEKTIRANJE JAVNE RASVJETE PJEŠAČKE STAZE UZ ULICU GRADA VUKOVARA OD PALAČE PRAVDE DO "HRVATSKIH VODA"</t>
  </si>
  <si>
    <t>PRUŽANJE USLUGA OSIGURANJA RADNIKA DJEČJIH VRTIĆA GRADA ZAGREBA OD POSLJEDICA NESRETNOG SLUČAJA (NEZGODA)</t>
  </si>
  <si>
    <t>SPORAZUM O RASKIDU UGOVORNOG ODNOSA U SVEZI IZRADE PROJEKTNE DOKUMENTACIJE ZA ŠPORTSKO-REKREACIJSKI CENTAR STARI RETKOVEC-ŠPORTSKO I DJEČJE IGRALIŠTE IZ PLANA MKA GRAD. ČETVRTI DONJA DUBRAVA</t>
  </si>
  <si>
    <t>IZVEDBA STRATEŠKE BUŠOTINE</t>
  </si>
  <si>
    <t>IZMJEŠTANJE POLJA JAVNE RASVJETE IZ TRANSFORMATORSKIH STANICA U KABELSKE RAZVODNE ORMARE JAVNE RASVJETE</t>
  </si>
  <si>
    <t>GRAĐENJE JAVNE RASVJETE U ULICI IVANA CANKARA OD PRILAZA BARUNA FILIPOVIĆA DO GRADIŠĆANSKE ULICE</t>
  </si>
  <si>
    <t>SPORAZUM O RASKIDU UGOVORNOG ODNOSA U SVEZI IZVOĐENJA RADOVA NA IZMJENI DOTRAJALE STOLARIJE U OSNOVNOJ ŠKOLI  IVANA GUNDULIĆA</t>
  </si>
  <si>
    <t>IZRADA IDEJNOG PROJEKTA ZA ISHOĐENJE LOKACIJSKE DOZVOLE ZA REKONSTRUKCIJU ZLATARSKE ULICE U SESVETAMA (OD KBR. 14 DO ULICE ALEJE MIRA)</t>
  </si>
  <si>
    <t>REKONSTRUKCIJA PROMETNICE ULICE R. MIHANOVIĆA - FRANGEŠA</t>
  </si>
  <si>
    <t>IZGRADNJA PJEŠAČKOG POTHODNIKA ISPOD ULICE HRVATSKE BRATSKE ZAJEDNICE, OD SVEUČILIŠNE NACIONALNE BIBLIOTEKE DO ZELENE POVRŠINE TE IZGRADNJA KOMUNALNE INFRASTRUKTURE S FONTANAMA</t>
  </si>
  <si>
    <t>IZGRADNJA OBJEKTA PSIHIJATRIJSKE BOLNICE SVETI IVAN</t>
  </si>
  <si>
    <t>IZRADA PROJEKTNO TEHNIČKE DOKUMENTACIJE ZA IZGRADNJU ZADVORSKE ULICE</t>
  </si>
  <si>
    <t>PROJEKTIRANJE JAVNE RASVJETE SPORTSKIH TERENA I DJEČJEG IGRALIŠTA U ULICI POŽARINJE VIII</t>
  </si>
  <si>
    <t>SANACIJA RASVJETE I RASVJETNIH TIJELA - ZAGREBAČKO GRADSKO KAZALIŠTE KOMEDIJA</t>
  </si>
  <si>
    <t>SANACIJA KROVA I PROČELJA - TRG KRALJA TOMISLAVA 4</t>
  </si>
  <si>
    <t>I. ANEKS UGOVORU O NABAVI NAMJEŠTAJA I OPREME ZA TRI ODGOJNE SKUPINE U DV KOLIBRI, PO NOVOSELEC, REG. BROJ 3/2012 OD 11. SIJEČNJA 2012.</t>
  </si>
  <si>
    <t>IZRADA ELABORATA PROCJENE TRŽIŠNE VRIJEDNOSTI NEKRETNINA NA TRASI VRAPČANSKE ULICE OD JADRANSKE AVENIJE DO ZAGREBAČKE CESTE I OD ILICE DO ULICE POTOK</t>
  </si>
  <si>
    <t>GRAĐENJE JAVNE RASVJETE U ULICI MIJE HALEUŠA I I. RESNIK</t>
  </si>
  <si>
    <t>GRAĐENJE JAVNE RASVJETE OKOLIŠA OŠ FRANA KRSTE FRANKOPANA, KULTURNOG CENTRA PEŠČENICA I MOSLAVAČKOG TRGA</t>
  </si>
  <si>
    <t>IZRADA IDEJNOG PROJEKTA ZA IZMJEŠTANJE ŽELJEZNIČKOG KOLOSJEKA I REORGANIZACIJU KONTEJNERSKOG TERMINALA ZA POTREBE GRAĐENJA SAMOBORSKE ULICE OD ZAGREBAČKE CESTE DO ULICE ORANICE</t>
  </si>
  <si>
    <t>RADOVI SANACIJE POTPORNOG ZIDA NA VRANICANIJEVOJ LIVADI</t>
  </si>
  <si>
    <t>I. ANEKS UGOVORU O IZVOĐENJU SOBOSLIKARSKO-LIČILAČKIH RADOVA U OBJEKTIMA MJESNIH SAMOUPRAVA I DRUGIM JAVNIM OBJEKTIMA ZA 2011, REG. BROJ 290/11 OD 09. LIPNJA 2011</t>
  </si>
  <si>
    <t>I. ANEKS UGOVORU O STRUČNOM NADZOR NAD RADOVIMA GRAĐENJA, REKONSTRUKCIJE I ODRŽAVANJA OBJEKATA, REG. BROJ 309/11 OD 17. LIPNJA 2011</t>
  </si>
  <si>
    <t>IZGRADNJA PROMETNICE S OBORINSKOM ODVODNJOM CANKAROVE ULICE</t>
  </si>
  <si>
    <t>SANACIJA OPLOČENJA NA TRGU PETRA PRERADOVIĆA</t>
  </si>
  <si>
    <t>UREĐENJE VINKOVAČKE I BIOKOVSKE ULICE S KOMUNALNOM INFRASTRUKTUROM</t>
  </si>
  <si>
    <t>IZRADA IDEJNOG PROJEKTA REKONSTRUKCIJE - DENIVELACIJE RASKRIŽJA BRANIMIROVA - OSJEČKA - I. TRNAVA</t>
  </si>
  <si>
    <t>SANACIJA PROSTORA NA LOKACIJI ULICA GRADA VUKOVARA 35 - GŠ PAVLA MARKOVCA</t>
  </si>
  <si>
    <t>IZGRADNJA VODOOPSKRBNOG CJEVOVODA I JAVNOG KANALA U ULICI A.ŠOLJANA OD BUDUĆE ULICE MEDPOTOKI DO ULICE JANKOMIR</t>
  </si>
  <si>
    <t>IZGRADNJA ULICE A. ŠOLJANA OD BUDUĆE ULICE MEDPOTOKI DO ULICE JANKOMIR</t>
  </si>
  <si>
    <t>NABAVA UREĐAJA ZA KOMPENZACIJU JALOVE ENERGIJE NA JAVNOJ RASVJETI</t>
  </si>
  <si>
    <t>IZMJEŠTANJE BETONSKIH STUPOVA RADI IZVANREDNOG ODRŽAVANJA ULICE JAZBINA</t>
  </si>
  <si>
    <t>I. ANEKS UGOVORA O NABAVI RAZNIH NAPITAKA-PIĆA, REG. BR. 429/11 OD 18.KOLOVOZA 2011</t>
  </si>
  <si>
    <t>IZGRADNJA ODVOJKA ULICE DEDIĆI</t>
  </si>
  <si>
    <t>GRAĐENJE JAVNE RASVJETE U ULICI ANTUNA ŠOLJANA (GOSPODSKA - MEDPOTOKI)</t>
  </si>
  <si>
    <t>DOGRADNJA KANALSKE MREŽE U ULICI REBROVAC OD ULICE REBAR DO KBR. 38</t>
  </si>
  <si>
    <t>PROJEKTIRANJE JAVNE RASVJETE DIJELA ULICE HORVATI U GORNJIM TRPUCIMA</t>
  </si>
  <si>
    <t>ADAPTACIJA PROSTORA ZA POTREBE DV LEPTIR, PO ŽUPA SVIH SVETIH</t>
  </si>
  <si>
    <t>KRAJOBRAZNO UREĐENJE CANKAROVE ULICE OD PRILAZA BARUNA FILIPOVIĆA DO GRADIŠĆANSKE ULICE</t>
  </si>
  <si>
    <t>IZRADA GLAVNOG I IZVEDBENOG PROJEKTA ZA IZGRADNJU DESNOG SKRETAČA PRAŠKA-JURIŠIĆEVA I UREĐENJE JAVNO PROMETNE POVRŠINE</t>
  </si>
  <si>
    <t>NABAVA KUHINJSKE OPREME ZA UGOSTITELJSKO-TURISTIČKO UČILIŠTE</t>
  </si>
  <si>
    <t>II. ANEKS UGOVORU O PRUŽANJU USLUGA PUTNIČKIH AGENCIJA U ZEMLJI I INOZEMSTVU GRUPA A: HOTELSKI SMJEŠTAJ, GRUPA B: AVIO PRIJEVOZ, GRUPA C: OSTALE USLUGE, REG.BR. 692/11 OD 4. STUDENOG 2011</t>
  </si>
  <si>
    <t>I. ANEKS UGOVORU O PRUŽANJU USLUGE ORGANIZACIJE I PROVEDBE JAVNIH NATJEČAJA ZA PROJEKTE STRATEŠKOG ZNAČAJA-USLUGA PROVEDBE JAVNOG, MEĐUNARODNOG, ANKETNOG, URBANISTIČKO-ARHITEKTONSKOG WEB NATJEČAJA ZA GRADSKI PROJEKT BLOK BADEL, REG. BR. 767/11 OD 22. PROSINCA 2011.</t>
  </si>
  <si>
    <t>I. ANEKS UGOVORU O STROJNOM I RUČNOM UTOVARU I ODVOZU SNIJEGA IZ PJEŠAČKE ZONE, REG.BR. 194/11 OD 7. TRAVNJA 2011.</t>
  </si>
  <si>
    <t>I. ANEKS UGOVORU O SANACIJI KROVA U OSNOVNOJ ŠKOLI ŽITNJAK, REG.BR. 511/11 OD 12. RUJNA 2011.</t>
  </si>
  <si>
    <t>I. ANEKS UGOVORU O GRAĐENJU - DODATNI RADOVI NA SANACIJI LJETNE POZORNICE TUŠKANAC, REG.BROJ 344/09-II OD 27.TRAVNJA 2009.</t>
  </si>
  <si>
    <t>STRUČNI NADZOR NAD IZGRADNJOM PJEŠAČKOG POTHODNIKA ISPOD ULICE HRVATSKE BRATSKE ZAJEDNICE, OD SVEUČILIŠNE NACIONALNE BIBLIOTEKE DO ZELENE POVRŠINE TE IZGRADNJOM KOMUNALNE INFRASTRUKTURE S FONTANAMA</t>
  </si>
  <si>
    <t>IZGRADNJA I REKONSTRUKCIJA NISKONAPONSKE MREŽE U DIJELU HORVATOVE ULICE</t>
  </si>
  <si>
    <t>IZGRADNJA I REKONSTRUKCIJA NISKONAPONSKE NADZEMNE MREŽE U ULICI BIŠĆANOV PUT</t>
  </si>
  <si>
    <t>IZMJEŠTANJE ENERGETSKIH KABELA ZBOG PROŠIRENJA SLAVONSKE AVENIJE</t>
  </si>
  <si>
    <t>I. ANEKS UGOVORU O PRUŽANJU USLUGE IZRADE TOPOGRAFSKE OSNOVE ZA BAZU STVARNOG KORIŠTENJA ZEMLJIŠTA GRADA ZAGREBA, REG BROJ 85/2012 OD 09. VELJAČE 2012</t>
  </si>
  <si>
    <t>STRUČNI NADZOR NAD IZGRADNJOM SPOJNE ULICE IZMEĐU ULICE ZINKE KUNC I ULICE PRISAVLJE S KOMUNALNOM INFRASTRUKTUROM</t>
  </si>
  <si>
    <t>I. ANEKS UGOVORU O PRUŽANJU USLUGA RAZVOJA SUSTAVA I OPREME, PROGRAMSKE PODRŠKE I ISPITIVANJA U FUNKCIJI PRIORITETA JAVNOG GRADSKOG PRIJEVOZA-CIVITAS ELAN(POSTIZANJE ODRŽIVE MOBILNOSTI)REG.BROJ 98/2012 OD 14. VELJAČE 2012</t>
  </si>
  <si>
    <t>SANACIJA PROČELJA SA VANJSKOM STOLARIJOM ZA UČENIČKI DOM NOVI ZAGREB</t>
  </si>
  <si>
    <t>USLUGE UKLANJANJA OBJEKATA LJETNIH TERASA, POKRETNIH NAPRAVA, REKLAMNIH PANOA I OZNAKA, TE RAZNOG GRAĐEVINSKOG MATERIJALA</t>
  </si>
  <si>
    <t>JEDNOSTRANI RASKID UGOVORA O IZGRADNJI SERVISNE PROMETNICE "GREDELJ 2" S POTPORNIM ZIDOM, REG. BROJ 657/11 OD 31.LISTOPADA 2011.</t>
  </si>
  <si>
    <t>JEDNOSTRANI RASKID UGOVORA O IZGRADNJI AUTOBUSNIH STAJALIŠTA, REG. BROJ 648/11 OD 26.10.2011.</t>
  </si>
  <si>
    <t>I. ANEKS UGOVORU O IZRADI PROMIDŽBENO-INFORMATIVNOG MATERIJALA U CILJU POTICANJA IZOBRAZBE I POUČAVANJA TE INFORMIRANJA O PROBLEMATICI OTPADA U GRADU ZAGREBU, REG.BROJ 39/2012 OD 27. SIJEČNJA 2012</t>
  </si>
  <si>
    <t>PRUŽANJE USLUGA GEOTEHNIČKIH PREGLEDA U SVRHU ODRŽAVANJA JJP ZONA II.</t>
  </si>
  <si>
    <t>I. ANEKS UGOVORU O PRUŽANJU USLUGA TJELESNE ZAŠTITE OSOBA I IMOVINE KOJOM UPRAVLJA GRADSKI URED ZA IMOVINSKO-PRAVNE POSLOVE I IMOVINU GRADA (STANOVI, POSL. PROSTORI, KOMPLEKSI), REG. BR. 154/11 OD 15.OŽUJKA 2011</t>
  </si>
  <si>
    <t>IZGRADNJA SPOJNE ULICE IZMEĐU ULICE ZINKE KUNC I ULICE PRISAVLJE S KOMUNALNOM INFRASTRUKTUROM</t>
  </si>
  <si>
    <t>JEDNOSTRANI RASKID UGOVORA O IZGRADNJI PROMETNICE OKO KAZETE "A" I ŠETNICE U NASELJU SREDIŠĆE - ZAPAD S KOMUNALNOM INFRASTRUKTUROM</t>
  </si>
  <si>
    <t>IZGRADNJA PARKIRALIŠTA NK "RUDEŠ"</t>
  </si>
  <si>
    <t>IZGRADNJA ODVOJKA ULICE IVANA PUĐAKA U SESVETAMA</t>
  </si>
  <si>
    <t>I. ANEKS UGOVORA O UREĐENJU ŠKOLE I UČENIČKOG DOMA U SELSKOJ CESTI ZA POTREBE ŠPORTSKE GIMNAZIJE, REG. BROJ 697/11 OD 21. STUDENOG 2011.</t>
  </si>
  <si>
    <t>JEDNOSTRANI RASKID UGOVORA O DOGRADNJI DESNOG SKRETAČA NA SLAVONSKOJ AVENIJI I POMICANJE AUTOBUSNOG UGIBALIŠTA NA AV. V. HOLJEVCA, REG. BROJ 440-11 OD 23.KOLOVOZA 2011.</t>
  </si>
  <si>
    <t>REKONSTRUKCIJA ULICE MIJE HALEUŠA - I FAZA I ULICE RESNIK I. - RADOVI NA REKONSTRUKCIJI CESTOVNE PROMETNICE S OBORINSKOM ODVODNJOM</t>
  </si>
  <si>
    <t>IZVOĐENJE RADOVA NA GRADNJI MANJIH PRILAZNIH PROMETNICA KOJE SE IZVODE ZBOG KOMUNALNE INFRASTRUKTURE TE POVEZIVANJE IZGRAĐENIH CJELINA - NASELJA NA PODRUČJU GRADA ZAGREBA</t>
  </si>
  <si>
    <t>IZGRADNJA PRODUŽETKA ULICE VII. BUKOVAČKI OGRANAK</t>
  </si>
  <si>
    <t>NABAVA PREHRAMBENIH ARTIKALA ZA POTREBE DJEČJIH VRTIĆA GRADA ZAGREBA ( NABAVA I ISPORUKA KRUHA I KRUŠNIH PROIZVODA)</t>
  </si>
  <si>
    <t>UKLANJANJE GRAĐEVINA NA TRASI IZGRADNJE III. ETAPE BRANIMIROVE ULICE OD ZAVRTNICE DO HEINZELOVE</t>
  </si>
  <si>
    <t>II. ANEKS UGOVORU ZA UREĐENJE PROSTORA ZA DNEVNI CENTAR ZA UMIROVLJENIKE, REG. BR. 741/11 OD 09. PROSINCA 2011.</t>
  </si>
  <si>
    <t>UKLANJANJE DIJELOVA GRAĐEVINE NA TRASI IZGRADNJE III. ETAPE BRANIMIROVE ULICE OD ZAVRTNICE DO HEINZELOVE SA SAKUPLJANJEM I ZBRINJAVANJEM GRAĐEVNOG OTPADA KOJI SADRŽI AZBEST</t>
  </si>
  <si>
    <t>I. ANEKS UGOVORU O IZVANREDNOM ODRŽAVANJU ULICE JAZBINA, REG. BR. 378/11 OD 25. SRPNJA 2011.</t>
  </si>
  <si>
    <t>NABAVA USLUGA CATERINGA</t>
  </si>
  <si>
    <t>NABAVA RAČUNALA, PRIJENOSNIH RAČUNALA I DODATNE INFORMATIČKE OPREME</t>
  </si>
  <si>
    <t>I. ANEKS UGOVORU O SANACIJI GRAĐEVINE PŠ KOZJAK I SANACIJI ZABATNIH ZIDOVA, REG.BR. 688/11 OD 16.11.2011</t>
  </si>
  <si>
    <t>SUZBIJANJE KOMARACA NA PODRUČJU GRADA ZAGREBA</t>
  </si>
  <si>
    <t>PRUŽANJE USLUGA PREGLEDA I ANALIZE TISKA ZA GRAD ZAGREB</t>
  </si>
  <si>
    <t>OPREMANJE KINA TUŠKANAC PODIZNOM PLATFORMOM</t>
  </si>
  <si>
    <t>IZRADA PROJEKTNE DOKUMENTACIJE ZA OŠ MARKUŠEVEC - PO VIDOVEC</t>
  </si>
  <si>
    <t>I. ANEKS UGOVORU O SANACIJI ULIČNOG PROČELJA PALMOTIĆEVA 26, REG. BROJ 623/11 OD 18. LISTOPADA 2011.</t>
  </si>
  <si>
    <t>UREĐENJE POZORNICE U KINU TUŠKANAC</t>
  </si>
  <si>
    <t>NABAVA I POSTAVA OPREME ZA SMIRIVANJE I USMJERAVANJE PROMETA, ODRŽAVANJE POSTOJEĆIH, POSTAVA TAKTILNIH PLOČA I LINIJA VODILJA ZA SLIJEPE I SLABOVIDNE OSOBE, ELASTIČNI STUPIĆI</t>
  </si>
  <si>
    <t>UGOVOR O GEODETSKOM SNIMANJU TE IZRADI POTREBNIH GEODETSKIH PODLOGA ZA PROŠIRENJE GROBLJA: MORAVČE, GLAVNICA, JAKUŠEVEC, ŠESTINE, SVETA KLARA, GORNJE VRAPČE I MIROŠEVEC</t>
  </si>
  <si>
    <t>SPORAZUM O RASKIDU UGOVORNOG ODNOSA U SVEZI DOGRADNJE KANALSKE MREŽE U ULICI KUSTOŠIJSKI VENEC, KOD KBR. 151, REG.BROJ 662/11 OD 04.11.2011.</t>
  </si>
  <si>
    <t>ODRŽAVANJE INFORMATIČKOG SUSTAVA I OPREME</t>
  </si>
  <si>
    <t>I. ANEKS UGOVORU  O UREĐENJU RIMSKOG PUTA U SESVETAMA, REG. BROJ 108/08-II OD 26.02.2008</t>
  </si>
  <si>
    <t>I. ANEKS UGOVORU O USLUGAMA TISKA SLUŽBENOG GLASNIKA GRADA ZAGREBA, REG. BR. 301/11 OD 14. LIPNJA 2011.</t>
  </si>
  <si>
    <t>I. ANEKS UGOVORU O IZRADI ANALIZE MOGUĆNOSTI PRIMJENE AKTIVNIH MJERA ZAŠTITE OD BUKE, REG. BROJ 89/12 OD 10.02.2012.</t>
  </si>
  <si>
    <t>SANACIJA PRIZEMNOG DIJELA PROČELJA - GUNDULIĆEVA 7</t>
  </si>
  <si>
    <t>I. ANEKS UGOVORU O IZRADI STUDIJE OPRAVDANOSTI RAZVOJA I UNAPRJEĐENJA TRAMVAJSKOG PROMETA I TRAMVAJSKE MREŽE GRADA ZAGREBA, REG. BROJ 610/11 OD 12.10.2011.</t>
  </si>
  <si>
    <t>SPORAZUM O RASKIDU UGOVORNOG ODNOSA U SVEZI ODVOJKA SAMOBORSKE CESTE, REG. BR. 673/11 OD 08. STUDENOG 2011.</t>
  </si>
  <si>
    <t>NABAVA POKLON KOŠARA, PIĆA, SOKOVA, VODE I VOĆA</t>
  </si>
  <si>
    <t>IZGRADNJA BRANIMIROVE ULICE OD ZAVRTNICE DO HEINZELOVE S KOMUNALNOM INFRASTRUKTUROM - CESTOVNA PROMETNICA S KANALIZACIJOM</t>
  </si>
  <si>
    <t>REKONSTRUKCIJA I PROŠIRENJE RADNIČKE CESTE OD ULICE GRADA VUKOVARA DO HEINZELOVE ULICE - RADOVI NA IZGRADNJI CESTOVNE PROMETNICE S OBORINSKOM ODVODNJOM, GRAĐEVINSKI RADOVI ZA POTREBE SEMAFORSKIH INSTALACIJA I HUMUSIRANJE ZELENIH POVRŠINA</t>
  </si>
  <si>
    <t>IZRADA IZVEDBENOG PROJEKTA SANACIJE STUPOVA NA PODSUSEDSKOM MOSTU</t>
  </si>
  <si>
    <t>PREVENTIVNA I OBVEZNA PREVENTIVNA DERATIZACIJA NA PODRUČJU GRADA ZAGREBA ZA 1. GRUPU-I. ZONU (1. NOVI ZAGREB-ZAPAD, 2. NOVI ZAGREB-ISTOK I 3. BREZOVICA)</t>
  </si>
  <si>
    <t>PREVENTIVNA I OBVEZNA PREVENTIVNA DERATIZACIJA NA PODRUČJU GRADA ZAGREBA ZA 2. GRUPU-II. ZONU (4. ČRNOMEREC, 5. GORNJI GRAD, 6. PODSLJEME I 7. TREŠNJEVKA-SJEVER)</t>
  </si>
  <si>
    <t>PREVENTIVNA I OBVEZNA PREVENTIVNA DERATIZACIJA NA PODRUČJU GRADA ZAGREBA ZA 3. GRUPU-III. ZONU (8. PODSUSED-VRAPČE, 9. STENJEVEC, 10. TREŠNJEVKA-JUG)</t>
  </si>
  <si>
    <t>PREVENTIVNA I OBVEZNA PREVENTIVNA DERATIZACIJA NA PODRUČJU GRADA ZAGREBA ZA 4. GRUPU-IV. ZONU (11. DONJI GRAD, 12. MAKSIMIR, 13. TRNJE I 14. GORNJA DUBRAVA)</t>
  </si>
  <si>
    <t>SPORAZUM O RASKIDU UGOVORNOG ODNOSA U SVEZI DOGRADNJE KANALSKE MREŽE U ULICI KOBASIĆI, REG. BROJ: 444/11 OD 25. KOLOVOZA 2011.</t>
  </si>
  <si>
    <t>PREVENTIVNA I OBVEZNA PREVENTIVNA DERATIZACIJA NA PODRUČJU GRADA ZAGREBA ZA 5. GRUPU-V. ZONU (15. PEŠČENICA - ŽITNJAK, 16. DONJA DUBRAVA I 17. SESVETE)</t>
  </si>
  <si>
    <t>I. ANEKS UGOVORU O DOGRADNJI KANALSKE MREŽE U MIROŠEVEČKOJ CESTI - JUŽNO OD VRTIĆA, REG. BROJ 564/11 OD 26.09.2011.</t>
  </si>
  <si>
    <t>SPORAZUM O RASKIDU UGOVORNOG ODNOSA U SVEZI UREĐENJA PARKIRALIŠTA NA KRIŽANJU KALJSKE I REŠETAROVE ULICE, IZ PLANA MKA GRADSKE ČETVRTI STENJEVEC, REG. BROJ  29/11 OD 21.01.2011.</t>
  </si>
  <si>
    <t>I. ANEKS UGOVORU O PRUŽANJU USLUGA ODRŽAVANJA UGOSTITELJSKE OPREME, REG. BROJ 320/11 OD 21. LIPNJA 2011.</t>
  </si>
  <si>
    <t>REKONSTRUKCIJA I PROŠIRENJE RADNIČKE CESTE OD ULICE GRADA VUKOVARA DO HEINZELOVE ULICE - GRAĐEVINSKI RADOVI NA IZGRADNJI ELEKTROENERGETSKE MREŽE</t>
  </si>
  <si>
    <t>I. ANEKS  UGOVORU O PARCIJALNOJ SANACIJI OPLOČENJA NA TERASI U BRAJKOVIĆEVOM PRILAZU, REG. BR. 80/12 OD 09. VELJAČE 2012.</t>
  </si>
  <si>
    <t>REKONSTRUKCIJA I PROŠIRENJE RADNIČKE CESTE OD ULICE GRADA VUKOVARA DO HEINZELOVE ULICE - USLUGE STRUČNOG I GEODETSKOG NADZORA</t>
  </si>
  <si>
    <t>REKONSTRUKCIJA I PROŠIRENJE RADNIČKE CESTE OD ULICE GRADA VUKOVARA DO HEINZELOVE ULICE - PRIVREMENA REGULACIJA PROMETA</t>
  </si>
  <si>
    <t>TISKANJE PROMOTIVNIH I INFORMATIVNIH MATERIJALA</t>
  </si>
  <si>
    <t>USLUGE KONTROLNIH ISPITIVANJA MATERIJALA I RADOVA NA REKONSTRUKCIJI I PROŠIRENJU RADNIČKE CESTE OD ULICE GRADA VUKOVARA DO HEINZELOVE ULICE</t>
  </si>
  <si>
    <t>NABAVA USLUGE ODRŽAVANJA  APLIKATIVNIH RJEŠENJA: MATICE ŠKOLA, PLAĆE VRTIĆA, SUSTAV ZA PODRŠKU PROGRAMIMA POTICANJA OBRTA, SOCIJALNE KARTICE, EVIDENCIJA IMOVINE U VLASNIŠTVU GRADA ZAGREBA</t>
  </si>
  <si>
    <t>UREĐENJE OKOLIŠA OSNOVNE ŠKOLE PAVLEKA MIŠKINE</t>
  </si>
  <si>
    <t>I. ANEKS UGOVORU O IZRADI PROJEKTNE DOKUMENTACIJE ZA OŠ MARKUŠEVEC - PO VIDOVEC, REG. BROJ 252/2012 OD 05. LIPNJA 2012.</t>
  </si>
  <si>
    <t>I. ANEKS UGOVORU O SANACIJA UNUTARNJIH STEPENICA I SANITARIJA OŠ HORVATI, REG. BROJ 120/12 OD 24. VELJAČE 2012</t>
  </si>
  <si>
    <t>USLUGE PRIJENOSA I PRIJEVOZA OSTAVLJENIH STVARI IZ STANA I POSLOVNOG PROSTORA U SKLADIŠTE I NA DEPONIJ</t>
  </si>
  <si>
    <t>IZVOĐENJE RADOVA NA DOPUNI SEMAFORIZIRANOG RASKRIŽJA GOLIKOVA - BAŠTIJANOVA</t>
  </si>
  <si>
    <t>NABAVA MATERIJALA TISKANOG PO NARUDŽBI ZA POTREBE GRADSKE UPRAVE GRADA ZAGREBA</t>
  </si>
  <si>
    <t>PRUŽANJE USLUGA POPRAVAKA I ODRŽAVANJA VOZILA MARKE VOLKSWAGEN I ŠKODA (GRUPA E)</t>
  </si>
  <si>
    <t>PRUŽANJE USLUGA POPRAVAKA I ODRŽAVANJA VOZILA MARKE FIAT (GRUPA D)</t>
  </si>
  <si>
    <t>IZRADA STUDIJE ZA UREĐENJE ŠIREG PROSTORA POSTOJEĆE ŽELJEZNIČKE STANICE REMETINEC - CIVITAS ELAN (POSTIZANJE ODRŽIVE MOBILNOSTI)</t>
  </si>
  <si>
    <t>SPORAZUM O RASKIDU UGOVORA O IZGRADNJI RAMPE ZA OSOBE S INVALIDITETOM U BETHOVENOVOJ ULICI, REG. BR. 30/2012 OD 24.01.2012</t>
  </si>
  <si>
    <t>I. ANEKS UGOVORU O IZGRADNJI PRODUŽETKA ULICE VII. BUKOVAČKI OGRANAK, REG. BR. 239/12 OD 14. SVIBNJA 2012.</t>
  </si>
  <si>
    <t>I. ANEKS UGOVORU O POVJERAVANJU POSLOVA STRUČNOG NADZORA NAD IZGRADNJOM JAVNOG KANALA PROMJERA 200/177 CM U ULICI MEDPOTOKI OD LJUBLJANSKE AVENIJE DO ULICE KOTARNICA, REG. BROJ 640/2009-II OD 20. SRPNJA 2009.</t>
  </si>
  <si>
    <t>DOGRADNJA OBJEKTA MO NOVOSELEC-III. ETAPA, NASTAVAK, NOVOSELEČKI PUT 181</t>
  </si>
  <si>
    <t>IZGRADNJA PROMETNICA OKO KAZETE "A" I ŠETNICE U NASELJU SREDIŠĆE-ZAPAD S KOMUNALNOM INFRASTRUKTUROM</t>
  </si>
  <si>
    <t>SANACIJA ATLETSKE STAZE SPORTSKOG PARKA MLADOST</t>
  </si>
  <si>
    <t>IZRADA PROJEKTA ANALIZE STANJA S PRIJEDLOGOM POBOLJŠANJA FUNKCIONIRANJA PROMETA NA PODRUČJU GRADSKE ČETVRTI TREŠNJEVKA SJEVER -JUG</t>
  </si>
  <si>
    <t>I. ANEKS UGOVORU O PRUŽANJU USLUGA HOTELSKOG SMJEŠTAJA, REG. BR. 327/11 OD 30. LIPNJA 2011.</t>
  </si>
  <si>
    <t>PRUŽANJE USLUGA POPRAVKA I ODRŽAVANJA VOZILA MARKE OPEL (GRUPA B)</t>
  </si>
  <si>
    <t>PRUŽANJE USLUGE LJETOVANJA DJECE HRVATSKIH BRANITELJA 1. GRUPA: NOVI VINODOLSKI ZA UKUPNO 330 DJECE (TERMIN:17.07.-24.07.2012; 07.08.-14.08.2012 I 14.08.-21.08.2012.)</t>
  </si>
  <si>
    <t>IZVANREDNO ODRŽAVANJE CESTOVNOG OBJEKTA SAVA-ODRA</t>
  </si>
  <si>
    <t>USLUGE NAKLADNIČKOG SERVISA ZA IZRADU SLUŽBENIH NOVINA GRADA ZAGREBA - ZAGREB.HR</t>
  </si>
  <si>
    <t>IZGRADNJA BRANIMIROVE ULICE OD ZAVRTNICE DO HEINZELOVE S KOMUNALNOM INFRASTRUKTUROM - JAVNA RASVJETA</t>
  </si>
  <si>
    <t>IZRADA TEHNIČKE DOKUMENTACIJE ZA MODRENIZACIJU KOTLOVNICA (MJERA 6 IZ SEAP-A)</t>
  </si>
  <si>
    <t>IZGRADNJA BRANIMIROVE ULICE OD ZAVRTNICE DO HEINZELOVE S KOMUNALNOM INFRASTRUKTUROM - USLUGE STRUČNOG I GEODETSKOG NADZORA</t>
  </si>
  <si>
    <t>USLUGA ODRŽAVANJA I NADOGRADNJE SUSTAVA ZA POSLOVANJE "CENTRIX" I ODRŽAVANJE ILOCK SUSTAVA</t>
  </si>
  <si>
    <t>USLUGA ISPITIVANJA ELEKTRIČNIH I GROMOBRANSKIH INSTALACIJA, STABILNIH SUSTAVA ZA DOJAVU I GAŠENJE POŽARA, STROJEVA I UREĐAJA S POVEĆANIM OPASNOSTIMA I FAKTORA RADNE OKOLINE</t>
  </si>
  <si>
    <t>REKONSTRUKCIJA I PROŠIRENJE RADNIČKE CESTE OD ULICE GRADA VUKOVARA DO HEINZELOVE ULICE - RADOVI NA SEMAFORIZACIJI (ISPORUKA I MONTAŽA SEMAFORA)</t>
  </si>
  <si>
    <t>NABAVA RAZNIH PREHRAMBENIH PROIZVODA I PIĆA</t>
  </si>
  <si>
    <t>NABAVA PREHRAMBENIH ARTIKALA ZA POTREBE DJEČJIH VRTIĆA GRADA ZAGREBA ( NABAVA I ISPORUKA ŽIVOTINJSKIH I BILJNIH ULJA I MASTI ) ZA GRUPU 3-ZONU 3-TRNJE, TREŠNJEVKA SJEVER, TREŠNJEVKA JUG, STENJEVEC</t>
  </si>
  <si>
    <t>NABAVA PREHRAMBENIH ARTIKALA ZA POTREBE DJEČJIH VRTIĆA GRADA ZAGREBA ( NABAVA I ISPORUKA ŽIVOTINJSKIH I BILJNIH ULJA I MASTI ) ZA GRUPU 1-ZONU 1-MAKSIMIR, GORNJI GRAD-MEDVEŠČAK, DONJI GRAD, ČRNOMEREC, PODSUSED-VRAPČE</t>
  </si>
  <si>
    <t>NABAVA PREHRAMBENIH ARTIKALA ZA POTREBE DJEČJIH VRTIĆA GRADA ZAGREBA ( NABAVA I ISPORUKA ŽIVOTINJSKIH I BILJNIH ULJA I MASTI ) ZA GRUPU 2-ZONU 2-SESVETE, GORNJA DUBRAVA, DONJA DUBRAVA,POSLJEME I GRUPU 4-ZONU 4-PEŠČENICA-ŽITNJAK, NOVI ZAGREB ISTOK, NOVI ZAGREB ZAPAD, BREZOVICA</t>
  </si>
  <si>
    <t>ODRŽAVANJE DIGITALNIH UMNOŽIVAČA</t>
  </si>
  <si>
    <t>PRUŽANJE USLUGA LJETOVANJA DJECE HRVATSKIH BRANITELJA 2. GRUPA: DUGA UVALA ZA UKUPNO 220 DJECE (TERMIN: 24.07.-31.07.2012. I 31.07.2012.-07.08.2012.)</t>
  </si>
  <si>
    <t>I. ANEKS UGOVORU O IZGRADNJI MRTVAČNICE NA GROBLJU U RESNIKU, REG. BROJ 68/12 OD 06. VELJAČE 2012.</t>
  </si>
  <si>
    <t>PRUŽANJE USLUGA PRIJEVOZA I UNIŠTAVANJA ŽIVOTINJSKIH LEŠINA I NUSPROIZVODA ŽIVOTINJSKOG PODRIJETLA</t>
  </si>
  <si>
    <t>I. ANEKS UGOVORU O NABAVI PREHRAMBENIH PROIZVODA I PIĆA ZA CAFFE KUHINJE, REG. BR. 389/11 OD 29. SRPNJA 2011.</t>
  </si>
  <si>
    <t>NABAVA USLUGA TEKUĆEG ODRŽAVANJA STABILNIH SUSTAVA ZA DOJAVU I GAŠENJE POŽARA, PLINODOJAVNIH SUSTAVA, VATROGASNIH APARATA I SUSTAVA TEHNIČKE ZAŠTITE: 4. GRUPA: PERIODIČNI SERVISI I POPRAVCI VATRODOJAVNIH SUSTAVA PROIZVODNJE HONEYWELL</t>
  </si>
  <si>
    <t>NABAVA USLUGA TEKUĆEG ODRŽAVANJA STABILNIH SUSTAVA ZA DOJAVU I GAŠENJE POŽARA, PLINODOJAVNIH SUSTAVA, VATROGASNIH APARATA I SUSTAVA TEHNIČKE ZAŠTITE: 8. GRUPA: PERIODIČNI SERVISI I POPRAVCI VATRODOJAVNOG SUSTAVA NOTIFIER</t>
  </si>
  <si>
    <t>NABAVA USLUGA TEKUĆEG ODRŽAVANJA STABILNIH SUSTAVA ZA DOJAVU I GAŠENJE POŽARA, PLINODOJAVNIH SUSTAVA, VATROGASNIH APARATA I SUSTAVA TEHNIČKE ZAŠTITE: 3. GRUPA: PERIODIČNI SERVISI I POPRAVCI PLINODOJAVNIH SUSTAVA U PLINSKIM KOTLOVNICAMA</t>
  </si>
  <si>
    <t>IZVOĐENJE SOBOSLIKARSKIH I LIČILAČKIH RADOVA</t>
  </si>
  <si>
    <t>IZRADA PLANA OBNOVE I ODRŽAVANJA SJEVERNOG DIJELA SPOMENIKA PARKOVNE ARHITEKTURE PARK MAKSIMIR ZA 2012.</t>
  </si>
  <si>
    <t>IZVRŠENJE USLUGA ENERGETSKE CERTIFIKACIJE ZGRADA GRADSKE UPRAVE</t>
  </si>
  <si>
    <t>IZGRADNJA BRANIMIROVE ULICE OD ZAVRTNICE DO HEINZELOVE S KOMUNALNOM INFRASTRUKTUROM - USLUGE KONTROLNIH ISPITIVANJA MATERIJALA I RADOVA</t>
  </si>
  <si>
    <t>IZJAVA O JEDNOSTRANOM RASKIDU UGOVORA O IZVOĐENJU II. ETAPE RADOVA U  DJEČJEM VRTĆU GAJNICE II, REG. BROJ 496/11 OD 08. RUJNA 2011</t>
  </si>
  <si>
    <t>I. ANEKS UGOVORU O ADAPTACIJI PROSTORA ZA POTREBE DV LEPTIR, PO ŽUPA SVIH SVETIH, REG. BROJ 208/12 OD 11. TRAVNJA 2012.</t>
  </si>
  <si>
    <t>NABAVA USLUGA TEKUĆEG ODRŽAVANJA STABILNIH SUSTAVA ZA DOJAVU I GAŠENJE POŽARA, PLINODOJAVNIH SUSTAVA, VATROGASNIH APARATA I SUSTAVA TEHNIČKE ZAŠTITE: 5. GRUPA: PERIODIČNI SERVISI I POPRAVCI VATRODOJAVNOG SUSTAVA PROIZVODNJE MORLEY</t>
  </si>
  <si>
    <t>NABAVA USLUGA TEKUĆEG ODRŽAVANJA STABILNIH SUSTAVA ZA DOJAVU I GAŠENJE POŽARA, PLINODOJAVNIH SUSTAVA, VATROGASNIH APARATA I SUSTAVA TEHNIČKE ZAŠTITE: 1. GRUPA: PERIODIČNI SERVISI I POPRAVCI SUSTAVA TEHNIČKE ZAŠTITE; 6. GRUPA: PERIODIČNI SERVISI I POPRAVCI VATRODOJAVNOG SUSTAVA PROIZVODNJE SCHRACK; 9. GRUPA: PERIODIČNI SERVISI I POPRAVCI VATRODOJAVNOG SUSTAVA KENTEC</t>
  </si>
  <si>
    <t>NABAVA PROIZVODA PROGRAMSKE OPREME – NADOGRADNJA PROGRAMSKE OPREME GE I SS SMALLWORLD (VODGIS)</t>
  </si>
  <si>
    <t>II. ANEKS UGOVORU O SANACIJI KROVA U OSNOVNOJ ŠKOLI ŽITNJAK, REG. BROJ 511/11 OD 12. RUJNA 2011.</t>
  </si>
  <si>
    <t>IZRADA IDEJNOG RJEŠENJA REKONSTRUKCIJE SLAVONSKE I ZAGREBAČKE AVENIJE OD ULICE MARIJANA ČAVIĆA DO PULJSKE</t>
  </si>
  <si>
    <t>IZVOĐENJE ROLETARSKIH RADOVA</t>
  </si>
  <si>
    <t>KRAJOBRAZNO UREĐENJE SPOJNE PROMETNICE OD PRODUŽENE ULICE GRADA VUKOVARA DO SLAVONSKE AVENIJE - I ETAPA</t>
  </si>
  <si>
    <t>REKONSTRUKCIJA TOPLINSKE STANICE U DJEČJEM VRTIĆU "GAJNICE", PERUANSKA 1</t>
  </si>
  <si>
    <t>IZVOĐENJE RADOVA NA UREĐENJU ČAJNE KUHINJE NA I KATU, PODRUČNI URED CENTAR</t>
  </si>
  <si>
    <t>IZRADA PROJEKTA IZVANREDNOG ODRŽAVANJA GAJEVE ULICE</t>
  </si>
  <si>
    <t>ZAMJENA PLINSKIH FASADNIH BOJLERA KOTLOVIMA GIMNAZIJA TITUŠA BREZOVAČKOG</t>
  </si>
  <si>
    <t>PRUŽANJE USLUGE KOORDINATORA ZAŠTITE NA RADU U FAZI IZVOĐENJA RADOVA - KOORDINATOR II ZA IZGRADNJU DV "BLANJE", BLANJE BB I DV U VUGROVCU DONJEM, ULICA A. ŠENOE 28, KOD OŠ VUGROVEC-KAŠINA</t>
  </si>
  <si>
    <t>STRUČNI NADZOR DOGRADNJE OBJEKTA OSNOVNE ŠKOLE SVETA KLARA</t>
  </si>
  <si>
    <t>IZVOĐENJE RADOVA NA ODVODNJI FEKALNE VODE IZ OBJEKTA DEPADANSE MOŠĆENIČKA DRAGA</t>
  </si>
  <si>
    <t>REKONSTRUKCIJA I PROŠIRENJE RADNIČKE CESTE OD ULICE GRADA VUKOVARA DO HEINZELOVE ULICE - RADOVI NA IZGRADNJI DTK MREŽE</t>
  </si>
  <si>
    <t>STRUČNI NADZOR NAD IZVANREDNIM ODRŽAVANJEM CESTOVNOG OBJEKTA SAVA-ODRA</t>
  </si>
  <si>
    <t>PREGLED POŠTANSKIH POŠILJAKA OD EKSPLOZIVNIH MATERIJALA</t>
  </si>
  <si>
    <t>IZRADA REVIZIJE AKCIJSKOG PLANA ENERGETSKI ODRŽIVOG RAZVITKA GRADA ZAGREBA</t>
  </si>
  <si>
    <t>ENERGETSKI PREGLEDI ZGRADA U VLASNIŠTVU GRADA ZAGREBA - DJEČJI VRTIĆI, II FAZA</t>
  </si>
  <si>
    <t>IZVOĐENJE PODOPOLAGAČKIH RADOVA</t>
  </si>
  <si>
    <t>IZGRADNJA BRANIMIROVE ULICE OD ZAVRTNICE DO HEINZELOVE S KOMUNALNOM INFRASTRUKTUROM - SEMAFORSKA INSTALACIJA</t>
  </si>
  <si>
    <t>IZGRADNJA DJEČJEG VRTIĆA "BLANJE", BLANJE BB</t>
  </si>
  <si>
    <t>SANACIJA TEMELJNOG TLA I PUKOTINA, II., VII., KLASIČNA GIMNAZIJA I XVI. GIMNAZIJA</t>
  </si>
  <si>
    <t>GRAĐEVINSKO OBRTNIČKI RADOVI - OŠ DR. IVANA MERZA</t>
  </si>
  <si>
    <t>ZAMJENA DOTRAJALE OPREME U TOPLINSKOJ STANICI I KOMORE ZA GRIJANJE U DVORANI OŠ KRALJA TOMISLAVA</t>
  </si>
  <si>
    <t>ZAMJENA DOTRAJALE OPREME U KOTLOVNICI I SUSTAVA GRIJANJA ŠPORTSKE DVORANE U OŠ AUGUSTA HARAMBAŠIĆA</t>
  </si>
  <si>
    <t>ZAMJENA DOTRAJALE OPREME U TOPLINSKOJ STANICI I ZAMJENA RADIJATORSKE ARMATURE U OŠ DAVORINA TRSTENJAKA</t>
  </si>
  <si>
    <t>OPLOČENJE OKO KAPELICE MARIJE BISTRIČKE SLJEMENSKE</t>
  </si>
  <si>
    <t>UGRADNJA SOLARNIH SUSTAVA ZA PRIPREMU POTROŠNE TOPLE VODE U OBJEKTIMA GRADSKE UPRAVE GRADA ZAGREBA</t>
  </si>
  <si>
    <t>UREĐENJE I OPREMANJE OŠ REMETE</t>
  </si>
  <si>
    <t>NABAVA POTROŠNOG MATERIJALA ZA POTREBE MJESNIH ODBORA GRADA ZAGREBA</t>
  </si>
  <si>
    <t>REKONSTRUKCIJA I PROŠIRENJE RADNIČKE CESTE OD ULICE GRADA VUKOVARA DO HEINZELOVE ULICE - RADOVI NA IZGRADNJI JAVNE RASVJETE</t>
  </si>
  <si>
    <t>PRUŽANJE USLUGA PROJEKTIRANJA I IZRADE TROŠKOVNIKA ZA RADOVE GRAĐENJA, REKONSTRUKCIJE I ODRŽAVANJA OBJEKATA MJESNIH SAMOUPRAVA I DRUGIH JAVNIH OBJEKATA</t>
  </si>
  <si>
    <t>MJERENJA KONCENTRACIJA PM2,5 ČESTICA NA POSTAJAMA GRADSKE MREŽE</t>
  </si>
  <si>
    <t>NABAVA STANDARDNIH INFORMATIČKIH  ALATA</t>
  </si>
  <si>
    <t>USLUGE OGLAŠAVANJA INFORMACIJA I PORUKA GRAĐANIMA, ČESTITKI, APELA I DRUGIH SADRŽAJA</t>
  </si>
  <si>
    <t>IZGRADNJA I REKONSTRUKCIJA ZADARSKA - KNINSKA - SELSKA S KOMUNALNOM INFRASTRUKTUROM</t>
  </si>
  <si>
    <t>GRADNJA VODOOPSKRBNOG CJEVOVODA U JESENOVCU, PIRENJAKOVA ULICA</t>
  </si>
  <si>
    <t>SANACIJA KROVIŠTA DV SESVETE PO BRESTJE</t>
  </si>
  <si>
    <t>IZVOĐENJE BRAVARSKIH RADOVA ZAMJENE PROZORA U ŠKOLI ZA TEKSTIL, KOŽU I DIZAJN</t>
  </si>
  <si>
    <t>SANACIJA KROVA - OŠ IVANA MEŠTOVIĆA</t>
  </si>
  <si>
    <t>IZGRADNJA VI. ODJELA PSIHIJATRIJSKE BOLNICE "SVETI IVAN"</t>
  </si>
  <si>
    <t>PRUŽANJE USLUGA ORGANIZIRANOG PRIJEVOZA DJECE DJEČJIH VRTIĆA GRADA ZAGREBA</t>
  </si>
  <si>
    <t>RADOVI NA POBOLJŠANJU JAVNE RASVJETE NA PODRUČJU VIJEĆA GRADSKIH ČETVRTI</t>
  </si>
  <si>
    <t>IZRADA TEHNIČKE DOKUMENTACIJE UVOĐENJA SUSTAVA DALJINSKOG OČITAVANJA POTROŠNJE ENERGENATA U ZGRADAMA U VLASNIŠTVU GRADA ZAGREBA - II FAZA</t>
  </si>
  <si>
    <t>PRUŽANJE USLUGA OBRAZOVANJA I STRUČNOG OSPOSOBLJAVANJA</t>
  </si>
  <si>
    <t>GRAĐENJE JAVNE RASVJETE U ULICI A. ŠOLJANA (MEDPOTOKI-JANKOMIR)</t>
  </si>
  <si>
    <t>ODRŽAVANJE-INTERVENTNI POPRAVCI LOKALNIH VODOVODA NA PODRUČJU GČ SESVETE</t>
  </si>
  <si>
    <t>NABAVA NAMJEŠTAJA I OPREME ZA 3 ODGOJNE SKUPINE DV GRIGORA VITEZA</t>
  </si>
  <si>
    <t>NABAVA SVEĆANE ODJEĆE ZA MATIČARE ZA VJENČANJA</t>
  </si>
  <si>
    <t>IZVANREDNO ODRŽAVANJE ULICE MIKULIĆI</t>
  </si>
  <si>
    <t>IZVOĐENJA RADOVA NA DOPUNI SEMAFORIZIRANOG RASKRIŽJA ULICA GRADA VUKOVARA - RADNIČKA CESTA</t>
  </si>
  <si>
    <t>GRAĐENJE JAVNE RASVJETE U DIJELU ULICE JANKOMIR I ODVOJKA ULICE JANKOMIR</t>
  </si>
  <si>
    <t>IZRADA GLAVNOG I IZVEDBENOG PROJEKTA ZA REKONSTRUKCIJU RASKRIŽJA VINOGRADSKA - KOSIRNIKOVA - FRANJE DURSTA</t>
  </si>
  <si>
    <t>IZGRADNJA PROMETNICE ULICE JANKOMIR I NOVOG ODVOJKA ULICE JANKOMIR</t>
  </si>
  <si>
    <t>DODATNI RADOVI IZGRADNJE PARKA I KOMUNALNE INFRASTRUKTURE KOD DŽAMIJE U FOLNEGOVIĆEVOM NASELJU SA SPOMEN-OBILJEŽJEM BOŠNJACIMA</t>
  </si>
  <si>
    <t>UREDSKI PAPIR I POTREPŠTINE ZA POTREBE GRADSKE UPRAVE GRADA ZAGREBA</t>
  </si>
  <si>
    <t>PROŠIRENJE KRIŽANJA AVENIJE VEĆESLAVA HOLJEVCA I AVENIJE DUBROVNIK (SJEVER)</t>
  </si>
  <si>
    <t>II. ANEKS UGOVORU O IZGRADNJI MRTVAČNICE NA GROBLJU U RESNIKU, REG. BROJ 68/12 OD 06. VELJAČE 2012.</t>
  </si>
  <si>
    <t>DODATNI RADOVI IZVANREDNOG ODRŽAVANJA PETRINJSKE ULICE</t>
  </si>
  <si>
    <t>IZGRADNJA VODOOPSKRBNOG CJEVOVODA I JAVNOG KANALA U ULICI JANKOMIR I ODVOJKU ULICE JANKOMIR</t>
  </si>
  <si>
    <t>ZAMJENA KOTLA ZA CENTRALNO GRIJANJE, PODRUČNI URED CENTAR</t>
  </si>
  <si>
    <t>ODRŽAVANJE UGOSTITELJSKE OPREME</t>
  </si>
  <si>
    <t>I. ANEKS UGOVORU O NABAVI POTROŠNOG MATERIJALA ZA POTREBE MJESNIH ODBORA GRADA ZAGREBA, REG. BROJ 361/2012 OD 07.09.2012.</t>
  </si>
  <si>
    <t>GRADNJA VODOOPSKRBNOG CJEVOVODA U BLAGUŠI, ULICA PUSTIČKI I PUSTIČKI ODVOJAK</t>
  </si>
  <si>
    <t>NABAVA BOŽIĆNIH DRVACA ZA BOŽIĆNO I NOVOGODIŠNJE UREĐENJE GRADA ZAGREBA 2012./2013.</t>
  </si>
  <si>
    <t>GRAĐEVINSKO OBRTNIČKI RADOVI UNUTARNJEG UREĐENJA U ŠKOLI ZA TEKSTIL, KOŽU I DIZAJN</t>
  </si>
  <si>
    <t>USLUGA ODRŽAVANJA PROGRAMSKE OPREME GRUPA A: ODRŽAVANJE ESRI PROGRAMSKIH ALATA</t>
  </si>
  <si>
    <t>USLUGA ODRŽAVANJA PROGRAMSKE OPREME  GRUPA B: ODRŽAVANJE PROGRAMSKE OPREME GE I SS SMALLWORLD (VODGIS)</t>
  </si>
  <si>
    <t>USLUGA ČIŠĆENJA I DEZINFEKCIJE KLIMATSKIH I VENTILACIJSKIH SUSTAVA U OBJEKTIMA GRADSKE UPRAVE GRADA ZAGREBA</t>
  </si>
  <si>
    <t>ODRŽAVANJE UPS-A (NEPREKIDNO NAPAJANJE)</t>
  </si>
  <si>
    <t>JEDNOSTRANI RASKID UGOVORA O IZVOĐENJU GRAĐEVINSKIH RADOVA NA IZGRADNJI PROMETNICA, STAZA, KANALIZACIJE I VODOVODA - GROBLJE GAJ URNI, REG. BROJ 165/11 OD 21. OŽUJKA 2011.</t>
  </si>
  <si>
    <t>IZMJENA PARKETA U UČIONICI OSNOVNE ŠKOLE IZIDORA KRŠNJAVOGA, KRŠNJAVOGA 2</t>
  </si>
  <si>
    <t>SANACIJA KROVA MS" PREČKO", PREČKO 2A</t>
  </si>
  <si>
    <t>ZAMJENA KROVNOG POKROVA U MS "NOVI RETKOVEC" I MS "30. SVIBNJA 1990."</t>
  </si>
  <si>
    <t>GRADNJA VODOOPSKRBNOG CJEVOVODA U JESENOVCU, JESENOVEČKA CESTA OD KBR. 31 DO PIRENJAKOVE ULICE</t>
  </si>
  <si>
    <t>UREĐIVANJE 2 UČIONICE U OŠ "GRAČANI", GRAČANI 4A</t>
  </si>
  <si>
    <t>IV. ETAPA IZGRADNJE OBJEKTA DOBROVOLJNOG VATROGASNOG DRUŠTVA I MJESNE SAMOUPRAVE VRAPČE -JUG</t>
  </si>
  <si>
    <t>SANACIJA KANALIZACIJE OŠ PETRA ZRINSKOG</t>
  </si>
  <si>
    <t>GRADNJA RAMPE ZA INVALIDE U ULICI BREZA 26, OŠ "RETKOVEC", DZ ZAGREB-ISTOK, AMBULANTA U TRNAVI, RESNIČKI PUT 81 I DZ ZAGREB-ISTOK, AMBULANTA, SLAVONSKA ULICA 35</t>
  </si>
  <si>
    <t>ODRŽAVANJE DIZALA</t>
  </si>
  <si>
    <t>PROŠIRENJE I NADSVOĐENJE PROPUSTA PREKO POTOKA ČRNA VODA</t>
  </si>
  <si>
    <t>ODRŽAVANJE STROJARSKIH INSTALACIJA U OBJEKTIMA MJESNIH SAMOUPRAVA</t>
  </si>
  <si>
    <t>UTVRĐIVANJE TRŽIŠNE VRIJEDNOSTI NEKRETNINA ZA 1. GRUPU - GČ GORNJI GRAD-MEDVEŠČAK, DONJI GRAD, MAKSIMIR, PODSLJEME I TRNJE ZA PRODAJU I KUPNJU SVIH NEKRETNINA OSIM ZA PRODAJU STANOVA, POSLOVNIH ZGRADA, POSLOVNIH PROSTORA, GARAŽA I GARAŽNIH MJESTA, ZA  2. GRUPU - GČ TREŠNJEVKA JUG, N. ZAGREB ISTOK, N. ZAGREB ZAPAD I BREZOVICA ZA PRODAJU I KUPNJU SVIH NEKRETNINA OSIM ZA PRODAJU STANOVA, POSLOVNIH ZGRADA, POSLOVNIH PROSTORA, GARAŽA I GARAŽNIH MJESTA I ZA 3. GRUPU - GČ SESVETE, G. DUBRAVA, D. DUBRAVA I PEŠĆENICA ZA PRODAJU I KUPNJU SVIH NEKRETNINA OSIM ZA PRODAJU STANOVA, POSLOVNIH ZGRADA, POSLOVNIH PROSTORA, GARAŽA I GARAŽNIH MJESTA</t>
  </si>
  <si>
    <t>UTVRĐIVANJE TRŽIŠNE VRIJEDNOSTI NEKRETNINA  ZA 4. GRUPA - GČ PODSUSED-VRAPČE, ČRNOMEREC, STENJEVEC I  TREŠNJEVKA SJEVER ZA PRODAJU I KUPNJU SVIH NEKRETNINA OSIM ZA PRODAJU STANOVA, POSLOVNIH ZGRADA, POSLOVNIH PROSTORA, GARAŽA I GARAŽNIH MJESTA I ZA 6. GRUPU-ZA PRODAJU POSLOVNIH ZGRADA, POSLOVNIH PROSTORA, GARAŽA I GARAŽNIH MJESTA NA PODRUČJU GRADA ZAGREBA</t>
  </si>
  <si>
    <t>USLUGE TISKANJE I DISTRIBUCIJE PUBLIKACIJE ZAGREB.HR</t>
  </si>
  <si>
    <t>GRADNJA OBJEKTA MS "KUPINEČKI KRALJEVEC I., MRAKOV BREG BB</t>
  </si>
  <si>
    <t>UTVRĐIVANJE TRŽIŠNE VRIJEDNOSTI NEKRETNINA ZA 5. GRUPU - ZA PRODAJU STANOVA NA PODRUČJU GRADA ZAGREBA</t>
  </si>
  <si>
    <t>VODOINSTALATERSKI RADOVI</t>
  </si>
  <si>
    <t>REKONSTRUKCIJA KROVA ZGRADE GK "ŽAR PTICA", BIJENIČKA CESTA 97</t>
  </si>
  <si>
    <t>NABAVA SUSTAVA ANTIVIRUSNE ZAŠTITE</t>
  </si>
  <si>
    <t>NABAVA NAMJEŠTAJA I OPREME ZA ŠKOLU ZA TEKSTIL, KOŽU I DIZAJN</t>
  </si>
  <si>
    <t>DOGRADNJA OBJEKTA OŠ SVETA KLARA</t>
  </si>
  <si>
    <t>OBNOVA ULIČNOG PROČELJA I KROVA OBJEKTA, TE OBNOVA PROZORA I VRATA NA DVORIŠNOM DIJELU STUBIŠTA OBJEKTA -PALMOTIĆEVA 55</t>
  </si>
  <si>
    <t>UREĐIVANJE ULAZA U OŠ "MARKUŠEVEC", MARKUŠEVEČKA CESTA 160</t>
  </si>
  <si>
    <t>STRUČNI NADZOR NAD RADOVIMA GRAĐENJA, REKONSTRUKCIJE I ODRŽAVANJA OBJEKATA MJESNIH SAMOUPRAVA I DRUGIH JAVNIH OBJEKATA</t>
  </si>
  <si>
    <t>SPORAZUM O RASKIDU UGOVORA O UREĐENJU KATANČIĆEVE ULICE S KOMUNALNOM INFRASTRUKTUROM</t>
  </si>
  <si>
    <t>ODRŽAVANJE AGREGATA</t>
  </si>
  <si>
    <t>NABAVA OSTALIH ŽARULJA ZA ODRŽAVANJE JAVNE RASVJETE</t>
  </si>
  <si>
    <t>NABAVA PREHRAMBENIH PROIZVODI I PIĆA ZA CAFFE KUHINJE</t>
  </si>
  <si>
    <t>IZRADA PROJEKTNE DOKUMENTACIJE ZA GRADNJU VODOOPSKRBNOG CJEVOVODA U ULICAMA: STARA CESTA, MEJNA, M. BEDEKA 1C-1E, M. BEDEKA 3-3D, PILINKA 30A-30E, CIGLARSKA, KRŠKA, PREČNA, PAVLOVEČKA, PRUŽNA, ZASTAVNICE, JEZERANSKA I TRAVARSKI ODVOJAK</t>
  </si>
  <si>
    <t>NABAVA I INSTALACIJA OPREME ZA BROJANJE I KLASIFIKACIJU PROMETA MOTORNIH VOZILA NA PROMETNOJ MREŽI GRADA ZAGREBA</t>
  </si>
  <si>
    <t>IZRADA GEOTEHNIČKE PROSPEKCIJE TERENA ZA GRADNJU VODOOPSKRBNOG CJEVOVODA U ULICAMA: FURDINI OD GRADUŠI ODVOJAK, MUDIFAJI I JAVNOG KANALA U ULICI VELIKI VRH-OD MUDIFAJA PREMA NOVOSELCU</t>
  </si>
  <si>
    <t>MJERENJE I PRAĆENJE KAKVOĆE ZRAKA U GRADSKOJ MREŽI ZA TRAJNO PRAĆENJE KAKVOĆE ZRAKA 2012</t>
  </si>
  <si>
    <t>UGRADNJA FOTONAPONSKOG SUSTAVA NA ZGRADAMA GRADSKE UPRAVE - II FAZA</t>
  </si>
  <si>
    <t>GRADNJA POTPORNOG ZIDA U GORANCU, ULICA PAJURINI</t>
  </si>
  <si>
    <t>ELEKTRIČARSKI RADOVI</t>
  </si>
  <si>
    <t>POKRETNA I NEPOKRETNA OPREMA MRTVAČNICE NA GROBLJU U RESNIKU</t>
  </si>
  <si>
    <t>IZMJENA POKROVA I DJELOMIČNI POPRAVAK KROVIŠTA NA OBJEKTU NK TRNJE, TRG KARDINALA FRANJE ŠEPERA 3B</t>
  </si>
  <si>
    <t>NABAVA ZAŠTIĆENIH ISPRAVA I TISKANICA DRŽAVNIH MATICA</t>
  </si>
  <si>
    <t>GRADNJA DJEČJEG VRTIĆA I POTPORNOG ZIDA U VUGROVCU DONJEM, ULICA A. ŠENOE 28, KOD OŠ VUGROVEC-KAŠINA</t>
  </si>
  <si>
    <t>REKONSTRUKCIJA VANJSKOG STUBIŠTA OBJEKTA NA TRGU STJEPANA RADIĆA 1</t>
  </si>
  <si>
    <t>POVEZIVANJE CESARČEVE ULICE I PALMOTIĆEVE ULICE - REKONSTRUKCIJA DIJELA ULICE STARA VLAŠKA</t>
  </si>
  <si>
    <t>IZRADA PROJEKTNE DOKUMENTACIJE ZA GRADNJU JAVNOG KANALA U ULICAMA: KARLOVAČKA 65D-65G, KUPINEČKA, KARLOVAČKA OD KANALA DO "TIFONA", DELKOVEČKA, K. MLINARIĆ 2-8, ULICA JURINE</t>
  </si>
  <si>
    <t>UREĐENJE INSTALACIJA VATRODOJAVE - UČENIČKI DOM ANTE BRUNE BUŠIĆA</t>
  </si>
  <si>
    <t>PRUŽANJE USLUGA MEDICINSKE REHABILITACIJE HRVATSKIH RATNIH VOJNIH INVALIDA (HRVI-A) DOMOVINSKOG RATA ZA 2. GRUPU: SKUPINA II ZA 183 HRVI-A (PREVENCIJA, REHABILITACIJA I SANACIJA  LOKOMOTORNOG SUSTAVA)</t>
  </si>
  <si>
    <t>PRUŽANJE USLUGA HOTELSKOGI SMJEŠTAJA (STRANE DELEGACIJE)</t>
  </si>
  <si>
    <t>KRAJOBRAZNO UREĐENJE ULICE NIKOLE ANDRIĆA I SPOJA NA ISTU PREMA UPU SREDIŠĆE-ZAPAD</t>
  </si>
  <si>
    <t>I. ANEKS UGOVORU O PRUŽANJU USLUGA LJETOVANJA DJECE HRVATSKIH BRANITELJA 2. GRUPA: DUGA UVALA ZA UKUPNO 220 DJECE (TERMIN: 24.07.-31.07.2012. I 31.07.2012.-07.08.2012.), REG.BR. 315/12</t>
  </si>
  <si>
    <t>NABAVA OSNOVNIH ZAŠTITNIH SREDSTAVA: GRUPA B:  ZAŠTITNA OBUĆA</t>
  </si>
  <si>
    <t>PRUŽANJE USLUGA MEDICINSKE REHABILITACIJE HRVATSKIH RATNIH INVALIIDA (HRVI-A) DOMOVINSKOG RATA ZA 1. GRUPU: SKUPINA I ZA 100 HRVI-A (REUMATSKA OBOLJENJA, KOŽNE BOLESTI, BOLESTI KRVNIH ŽILA I PERIFERNIH ŽIVACA)</t>
  </si>
  <si>
    <t>BOŽIĆNO I NOVOGODIŠNJE UREĐENJE GRADA ZAGREBA 2012./13.- PRIGODNO UKRAŠAVANJE</t>
  </si>
  <si>
    <t>DODATNI RADOVI NA DOVRŠENJU IZGRADNJE MONTAŽNIH TRIBINA</t>
  </si>
  <si>
    <t>IMPLEMENTACIJA SUSTAVA OIE NA ZGRADAMA GRADA ZAGREBA - DJEČJI VRTIĆI, II FAZA</t>
  </si>
  <si>
    <t>NABAVA NAMJEŠTAJA I OPREME ZA NOVE ODGOJNE SKUPINE DJEČJEG VRTIĆA HRVATSKI LESKOVAC, PO LUČKO</t>
  </si>
  <si>
    <t>NABAVA NAMJEŠTAJA I OPREME ZA 12 ODGOJNIH SKUPINA ZA DJEČJI VRTIĆ NA PODRUČJU SESVETA - DV LEPTIR</t>
  </si>
  <si>
    <t>STRUČNI NADZOR VI. ODJELA PSIHIJATRIJSKE BOLINCE "SVETI IVAN"</t>
  </si>
  <si>
    <t>NABAVA NAMJEŠTAJA I OPREME ZA OŠ JORDANOVAC, PŠ KOZJAK</t>
  </si>
  <si>
    <t>UREĐIVANJE ULAZA U VI. POLICIJSKU POSTAJU NOVI ZAGREB, TRG NARODNE ZAŠTITE 1</t>
  </si>
  <si>
    <t>IZRADA IZVEDBENOG PROJEKTA POJAČANOG ODRŽAVANJA AUTOBUSNOG TERMINALA ČRNOMEREC</t>
  </si>
  <si>
    <t>I. ANEKS UGOVORU O POSTAVLJANJU OGRADA NA NEIZGRAĐENOM GRAĐEVINSKOM ZEMLJIŠTU, REG.BR. 473/11 OD 01.RUJNA 2011.</t>
  </si>
  <si>
    <t>NABAVA OSNOVNIH ZAŠTITNIH SREDSTAVA: GRUPA A. ZAŠTITNA ODJEĆA</t>
  </si>
  <si>
    <t>IZRADA PROJEKTNE DOKUMENTACIJE ZA GRADNJU JAVNOG KANALA U ZADVORSKOM: KAŠINCI, ZADVORSKA, KRUŽNA, PEKARSKA; U DESPRIMU: DESPRIMSKA, DREŽNIK, RAVNA; ODRANSKOM STRMCU: ČRNILO I STRMEČKA CESTA</t>
  </si>
  <si>
    <t>IZRADA PROJEKTNE DOKUMENTACIJE ZA GRADNJU JAVNOG KANALA U ULICAMA: F. MALNARA, SALJSKA, TURANJSKA, SISAČKA CESTA I. ODVOJAK, F. MALNARA VII. I VIII. ODVOJAK, POSEDARSKA III. ODVOJAK, L. NALETILIĆA</t>
  </si>
  <si>
    <t>IZRADA PROJEKTNE DOKUMENTACIJE ZA GRADNJU VODOOPSKRBNOG CJEVOVODA I JAVNOG KANALA U ULICI GORNJI BUKOVAC 18A I IZRADA PROJEKTNE DOKUMENTACIJE ZA GRADNJU JAVNOG KANALA U ULICI PUSTOSELINA 7/1 I DO 7/10</t>
  </si>
  <si>
    <t>IZRADA PROJEKTNE DOKUMENTACIJE ZA GRADNJU VODOOPSKRBNOG CJEVOVODA U ULICAMA: KRAVARŠČANI-ODVOJAK, KOTOV BRIJEG, LUKAČINI-II. ETAPA, ČAPLINEC-ODVOJAK, SNJEŽNIČKE STUBE, SINBUK, SLANOVEČKI ODVOJAK, FRUŠČINJE, V. ROČIĆA-III.ETAPA, VIDOVEC-ODVOJAK</t>
  </si>
  <si>
    <t>IZRADA PROJEKTNE DOKUMENTACIJE ZA GRADNJU JAVNOG KANAL U ULICAMA: A. ARBANASA I. ODVOJAK 12-7, I KBR. 12 DO K.Č. 3644/2, REMETINČKA CESTA 2, ULICA SV. IZIDORA 9-9F</t>
  </si>
  <si>
    <t>IZRADA PROJEKTNE DOKUMENTACIJE ZA GRADNJU VODOOPSKRBNOG CJEVOVODA U LONJIČKOJ ULICI, VI. KOZARI PUT, DOLJANI, ČRNKOVEČKA ULICA, NOVI PETRUŠEVAC, V. RESNIK I II. RESNIK</t>
  </si>
  <si>
    <t>PRUŽANJE USLUGA HITNE MEDICINSKE POMOĆI</t>
  </si>
  <si>
    <t>IZVANREDNO ODRŽAVANJE PULJSKE ULICE</t>
  </si>
  <si>
    <t>I. ANEKS UGOVORU O NABAVI NAMJEŠTAJA I OPREME ZA 3 ODGOJNE SKUPINE DV GRIGORA VITEZA, REG. BR. 379/2012 OD 18.RUJNA 2012.</t>
  </si>
  <si>
    <t>IZVOĐENJE RADOVA NA SANACIJI PILASTRA I KIPARSKIH ELEMENATA ISPOD BALKONA - KUMIČIĆEVA 1 /SVAČIĆEV TRG</t>
  </si>
  <si>
    <t>NABAVA I DOSTAVA 2 TIPSKA KONTEJNERA, OBJEKT NK TRNJE, TRG KARDINALA FRANJE ŠEPERA 3B</t>
  </si>
  <si>
    <t>GRADNJA JAVNOG KANALA U ZADVORSKOM, ZADVORSKA DO PRIGRADSKE, PRIGRADSKA, PRIGRADSKA III. ODVOJAK I ULICA FRKLIĆI</t>
  </si>
  <si>
    <t>USLUGE ODRŽAVANJA KOMUNIKACIJSKIH I TELEFAKS UREĐAJA, INSTALACIJE I OPREME</t>
  </si>
  <si>
    <t>POPRAVAK ZAŠTITNIH OGRADA NA STAJALIŠTIMA JAVNOG GRADSKOG PRIJEVOZA</t>
  </si>
  <si>
    <t>NABAVA OPREME ZA GRIJANJE I HLAĐENJE - NABAVA I MONTAŽA KLIMA UREĐAJA</t>
  </si>
  <si>
    <t>IZMJENA PROZORA U DJEČJEM VRTIĆU "MARKUŠEVEC", BREŽOVANKA 2A</t>
  </si>
  <si>
    <t>I. ANEKS UGOVORU O IZVOĐENJU RADOVA NA UREĐENJU ČAJNE KUHINJE NA I KATU, PODRUČNI URED CENTAR</t>
  </si>
  <si>
    <t>IZRADA PROJEKTNE DOKUMENTACIJE ZA IZGRADNJU JAVNE RASVJETE U ULICAMA: GRAČANSKA CESTA, ULICA TREŠNJINA CVIJETA, PODREBERNICA, ŠESTINSKI TRG,  IGRALIŠTA KOD OŠ VIDOVEC</t>
  </si>
  <si>
    <t>SANACIJA STOLARIJE UČENIČKI DOM NOVI ZAGREB</t>
  </si>
  <si>
    <t>PRUŽANJE USLUGA IZRADE TROŠKOVNIKA ZA ODRŽAVANJE ODNOSNO UREĐENJE STANOVA I POSLOVNIH PROSTORA U IMOVINI GRADA ZAGREBA</t>
  </si>
  <si>
    <t>IZVOĐENJE RADOVA NA IZGRADNJI KABELSKE KANALIZACIJE ZA POTREBE KOORDINACIJE SEMAFORSKIH UREĐAJA NA POTEZU ULICE GRADA VUKOVARA OD MIRAMARSKE DO HRVATSKE BRATSKE ZAJEDNICE</t>
  </si>
  <si>
    <t>UREĐENJE KRIŽANJA SLAVONSKE AVENIJE I AVENIJE V. HOLJEVCA (JUGOZAPAD)</t>
  </si>
  <si>
    <t>I. ANEKS UGOVORU O PRUŽANJU USLUGA PRESELJENJA POKRETNININA S NEIZGRAĐENOG GRAĐEVINSKOG ZEMLJIŠTA, REG.BR. 683/11 OD 15.STUDENOG 2011.</t>
  </si>
  <si>
    <t>UREĐIVANJE PODA U ŠPORTSKOJ DVORANI U OŠ "BREZOVICA", BREZOVIČKA CESTA 98</t>
  </si>
  <si>
    <t>NABAVA NAMJEŠTAJA I OPREME - GŠ PAVLA MARKOVCA</t>
  </si>
  <si>
    <t>IZRADA I MONTAŽA KLUPA I INTERIJERA U ŽUPNOJ CRKVI SV. IVANA KRSTITELJA, IVANJOREČKA CESTA BB</t>
  </si>
  <si>
    <t>NABAVA KOŠULJA, POLO MAJICA, KAPA SA ŠILTOM I SLUŽBENIH OZNAKA UČS KOJE SU SASTAVNI DIO RADNE ODORE ČUVARA I ZAŠTITARA</t>
  </si>
  <si>
    <t>IZGRADNJA OPOROVEČKE ULICE</t>
  </si>
  <si>
    <t>IZRADA PROJEKTNE DOKUMENTACIJE ZA GRADNJU JAVNOG KANALA U ULICAMA: BRANOVEČINA, BRANOVEČKA C., DUDAKI ŽUGLIĆI, FABIJANIĆEVA ODVOJAK KOD KBR. 10, KUNTIĆI, NOVAČKI ZAVOJ, PUKLEKI, RAKEKI OD KBR. 22, STRAŽNJIČKI PUT ODVOJAK 1. I 5., MARIJE SNJEŽNE-IŠTVANIĆI I ŽITNA</t>
  </si>
  <si>
    <t>NABAVA NAMJEŠTAJA I OPREME ZA NOVOUREĐENE PROSTORE UPRAVNE I BIROTEHNIČKE ŠKOLE</t>
  </si>
  <si>
    <t>NABAVA UREDSKOG NAMJEŠTAJA</t>
  </si>
  <si>
    <t>STRUČNI NADZOR NAD SANACIJOM KLIZIŠTA</t>
  </si>
  <si>
    <t>PRUŽANJE USLUGA MEDICINSKE REHABILITACIJE HRVATSKIH RATNIH VOJNIH INVALIDA ( HRVI-A) DOMOVINSKOG RATA ZA 3. GRUPU: SKUPINA III ZA 80 HRVI-A (OBOLJENJA I OZLJEDE NERVNOG , MIŠIĆNOG I LOKOMOTORNOG SUSTAVA)</t>
  </si>
  <si>
    <t>SANACIJA POKOSA NASIPA UZ CESTU U MORAVČU</t>
  </si>
  <si>
    <t>UREĐIVANJE PROSTORA OPĆE MEDICINE DOMA ZDRAVLJA "ZAGREB - CENTAR",  ULICA VLADIMIRA VARIĆAKA 1</t>
  </si>
  <si>
    <t>STRUČNI I GEODETSKI NADZOR NAD IZVOĐENJEM RADOVA -REKONSTRUKCIJA ULICE MIJE HALEUŠA I FAZA I ULICE I RESNIK</t>
  </si>
  <si>
    <t>IZRADA PROJEKTNE DOKUMENTACIJE ZA POSTAVU STUPOVA I JAVNE RASVJETE U ULICAMA: DRAGUTINA DOMJANIĆA-PRIGORSKA ULICA, JESENOVEČKA CESTA, ODVOJAK BOLČEVIĆI - PRIGORSKA ULICA, PRIGORSKA ULICA</t>
  </si>
  <si>
    <t>RADOVI NA OPĆOJ RASVJETI - TEHNIČKI MUZEJ "HALA A"</t>
  </si>
  <si>
    <t>GEODETSKE USLUGE NA NERAZVRSTANIM CESTAMA</t>
  </si>
  <si>
    <t>PREKRIVANJE KROVIŠTA, POSTAVLJANJE KROVNE LIMARIJE, SNJEGOBRANA I GROMOBRANA NA OBJEKTU MS "VURNOVEC", VURNOVEČKA ULICA 11</t>
  </si>
  <si>
    <t>NABAVA ODJEĆE I OBUĆE KOMUNALNIH I PROMETNIH REDARA</t>
  </si>
  <si>
    <t>IZMJEŠTANJE MAGISTRALNOG CJEVOVODA DN700 OD MOSTA MLADOSTI DO AVENIJE DUBROVNIK - DODATNI RADOVI</t>
  </si>
  <si>
    <t>I. FAZA SANACIJE OBJEKTA OŠ GRAČANI</t>
  </si>
  <si>
    <t>SANACIJA KROVA I PROČELJA I. FAZA OŠ PETRA ZRINSKOG</t>
  </si>
  <si>
    <t>IZRADA PROJEKTNE DOKUMENTACIJE ZA GRADNJU JAVNOG KANALA U ULICAMA: JURKOVIĆI, ŠESTINSKI KRALJEVEC-ODVOJAK, TRSIŠĆE, PILATUŠČAK - DIO.</t>
  </si>
  <si>
    <t>IZRADA PROJEKTNE DOKUMENTACIJE ZA GRADNJU VODOOPSKRBNOG CJEVOVODA U ULICAMA: LUČKI ODVOJAK 9-13, UNČANSKA, GAJ OD KBR. 67 DO KRAJA, GAJ OD KBR. 85 DO KRAJA I POLJSKI PUT</t>
  </si>
  <si>
    <t>IZRADA PROJEKTNE DOKUMENTACIJE ZA GRADNJU VODOOPSKRBNOG CJEVOVODA U ULICAMA: KARLOVAČKA, ŠČUKANČEVA, BREZOVIČKA 39-43A, ULICA JURINE</t>
  </si>
  <si>
    <t>NABAVA TELEKOMUNIKACIJSKIH USLUGA U FIKSNOJ TELEFONIJI I USLUGA PRISTUPA INTERNETU</t>
  </si>
  <si>
    <t>SANACIJA KOSOG KROVA OŠ VJENCESLAVA NOVAKA</t>
  </si>
  <si>
    <t>UREĐIVANJE KROVA NA MS "SILVIJE STRAHIMIR KRANJČEVIĆ", ULICA S.S. KRANJČEVIĆA 4A</t>
  </si>
  <si>
    <t>IZRADA TEHNIČKE DOKUMENTACIJE ZA PRIMJENU  OIE NA OBJEKTIMA U VLASNIŠTVU GRADA ZAGREBA (MJERA 2 IZ PROGRAMA ENERGETSKE UČINKOVITOSTI U NEPOSREDNOJ POTROŠNJI ENERGIJE)</t>
  </si>
  <si>
    <t>I. ANEKS UGOVORU O REKONSTRUKCIJI I PROŠIRENJU RADNIČKE CESTE OD ULICE GRADA VUKOVARA DO HEINZELOVE ULICE - PRIVREMENA REGULACIJA PROMETA, REG. BROJ 281/12 OD 03.SRPNJA 2012.</t>
  </si>
  <si>
    <t>GRADNJA JAVNOG KANALA U HUDI BITEKU, HUDOBIČKA ULICA II. ODVOJAK I HUDOBIČKA ULICA IV. ODVOJAK</t>
  </si>
  <si>
    <t>DODATNI RADOVI ADAPTACIJE PROSTORA ZA POTREBE DV LEPTIR, PO ŽUPA SVIH SVETIH</t>
  </si>
  <si>
    <t>I. ANEKS UGOVORU O REKONSTRUKCIJI I PROŠIRENJU RADNIČKE CESTE OD ULICE GRADA VUKOVARA DO HEINZELOVE ULICE - GRAĐEVINSKI RADOVI NA IZGRADNJI ELEKTROENERGETSKE MREŽE, REG. BR. 278/12 OD 28.LIPNJA 2012.</t>
  </si>
  <si>
    <t>SANACIJA KANALIZACIJE I SANITARNIH ČVOROVA OŠ MLADOST</t>
  </si>
  <si>
    <t>I. ANEKS UGOVORU O REKONSTRUKCIJI I PROŠIRENJU RADNIČKE CESTE OD ULICE GRADA VUKOVARA DO HEINZELOVE ULICE - RADOVI NA IZGRADNJI DTK MREŽE, REG. BGROJ 340/2012 OD 23.KOLOVOZA 2012.</t>
  </si>
  <si>
    <t>IZRADA PROJEKTNE DOKUMENTACIJE ZA GRADNJU OBJEKTA MS "GAJEVO", KOPRIVNIČKA ULICA 47</t>
  </si>
  <si>
    <t>NABAVA SVJETILJAKA I OSTALOG MATERIJALA ZA ODRŽAVANJE JAVNE RASVJETE</t>
  </si>
  <si>
    <t>IZVEDBA RADOVA NA OBNOVI KROVNOG POKROVA, PODRUČNI URED MEDVEŠČAK</t>
  </si>
  <si>
    <t>IZRADA GLAVNOG PROJEKTA S ISHOĐENJEM POTVRDE GLAVNOG PROJEKTA ZA IZGRADNJU DIJELA ULICE SIGET S PARKIRALIŠTEM</t>
  </si>
  <si>
    <t>I. ANEKS UGOVORU O NABAVI NAMJEŠTAJA I OPREME ZA OŠ JORDANOVAC, PŠ KOZJAK, REG. BROJ 462/12 OD 22. LISTOPADA 2012.</t>
  </si>
  <si>
    <t>SANACIJA PJEŠAČKE POVRŠINE NA KRIŽANJU ULICA HRVATSKE BRATSKE ZAJEDNICE I SLAVONSKE AVENIJE</t>
  </si>
  <si>
    <t>NADOGRADNJA I ODRŽAVANJE SUSTAVA "AKTI GRADONAČELNIKA"</t>
  </si>
  <si>
    <t>IZRADA PROJEKTNE DOKUMENTACIJE ZA GRADNJU VODOOPSKRBNOG CJEVOVODA U ULICAMA: MERAŠKA ŽELJEZNIČKA, VINODOLSKA I JAVNOG KANALA U ULICAMA: ŽELJEZNIČKA</t>
  </si>
  <si>
    <t>IZRADA PROJEKTNE DOKUMENTACIJE ZA GRADNJU VODOOPSKRBNOG CJEVOVODA U ULICAMA: ČEPINI, FABIJANIĆEVA ODVOJAK KOD KBR. 10, KLJUČARIĆI, LOZICA, NOVAČKA 318A, PREŠCI, RAKEKI OD KBR. 22 DO KRAJA, SLANOVEČKI ODVOJAK, ULICA SV. BARBARE - NASTAVAK PREMA BRANOVEČKOJ, ULICA SV. BARBARE - BUDAKI, ULICA ŠAFRANI, ŽITNA - PRODUŽETAK</t>
  </si>
  <si>
    <t>NABAVA EURO LOŽIVOG ULJA EKSTRA LAKOG: GRUPA 4: ZA POTREBE GRIJANJA MJESNIH ODBORA GRADSKIH ČETVRTI GRADA ZAGREBA</t>
  </si>
  <si>
    <t>NABAVA EURO LOŽIVOG ULJA EKSTRA LAKOG: GRUPA 3: ZA POTREBE GRIJANJA SREDNJIH ŠKOLA GRADA ZAGREBA</t>
  </si>
  <si>
    <t>NABAVA EURO LOŽIVOG ULJA EKSTRA LAKOG: GRUPA 1: ZA POTREBE GRIJANJA DJEČJIH VRTIĆA GRADA ZAGREBA</t>
  </si>
  <si>
    <t>NABAVA EURO LOŽIVOG ULJA EKSTRA LAKOG: GRUPA 2: ZA POTREBE GRIJANJA OSNOVNIH ŠKOLA GRADA ZAGREBA</t>
  </si>
  <si>
    <t>I. ANEKS UGOVORU O UREĐENJU OKOLIŠA OSNOVNE ŠKOLE PAVLEKA MIŠKINE, REG. BROJ 285/12 OD 06.SRPNJA 2012.</t>
  </si>
  <si>
    <t>IZRADA PROJEKTNE DOKUMENTACIJE ZA GRADNJU VODOOPSKRBNOG CJEVOVODA U ULICAMA: A. ARBANASA I. ODVOJAK 7-12, A. ARBANASA I. ODVOJAK OD KBR. 12 DO K.Č. 3644/2,  ULICA SV. IZIDORA 9-9F, SALJSKA, F. MALNARA IX. ODVOJAK, SISAČKA CESTA II. ODVOJAK, ČAVOGLAVSKA,POSEDARSKA, BURIĆEVA, SINJSKA I LUKORANSKA.</t>
  </si>
  <si>
    <t>SANACIJA KROVA I PROČELJA - NOVA VES 86</t>
  </si>
  <si>
    <t>USLUGA STRUČNE PROCJENE VOZILA KOJA SE NE KORISTE U PROMETU</t>
  </si>
  <si>
    <t>SPORAZUM O RASKIDU UGOVORA O GRADNJI POTPORNOG ZIDA U GORANCU, ULICA PAJURINI</t>
  </si>
  <si>
    <t>IZGRADNJA AUTOBUSNOG OKRETIŠTA U PLANINI GORNJOJ</t>
  </si>
  <si>
    <t>PRUŽANJE REZERVIRANIH  UNIVERZALNIH POŠTANSKIH USLUGA</t>
  </si>
  <si>
    <t>IZRADA PROJEKTNE DOKUMENTACIJE ZA GRADNJU JAVNOG KANALA U ULICAMA: OTONA POSTRUŽNIKA, I. ORANIČKI ODVOJAK, ULDERIKA DONADINIA, TRUŠILOVIĆKA ULICA I ULICA VINKA PRIBOJEVIĆA</t>
  </si>
  <si>
    <t>IZGRADNJA I REKONSTRUKCIJA DIJELA CENKOVEČKE ULICE ZA POTREBE IZGRADNJE OBJEKTA VRBANI K7-1</t>
  </si>
  <si>
    <t>II. ANEKS UGOVORU O REKONSTRUKCIJA I PROŠIRENJE RADNIČKE CESTE OD ULICE GRADA VUKOVARA DO HEINZELOVE ULICE - RADOVI NA IZGRADNJI CESTOVNE PROMETNICE S OBORINSKOM ODVODNJOM, GRAĐEVINSKI RADOVI ZA POTREBE SEMAFORSKIH INSTALACIJA I HUMUSIRANJE ZELENIH POVRŠINA, REG. BROJ 267/12 OD 21.06.2012.</t>
  </si>
  <si>
    <t>IZRADA PROJEKTNE DOKUMENTACIJE - OSNOVNA ŠKOLA KUSTOŠIJA</t>
  </si>
  <si>
    <t>RAČUNALNE USLUGE PODRŠKE INFORMACIJSKIM SUSTAVIMA GRADSKIH EVIDENCIJA</t>
  </si>
  <si>
    <t>KLIMATIZACIJA DVORANE NA KATU OBJEKTA DVD-A U ODRANSKOM OBREŽU, OBREŠKA CESTA 119</t>
  </si>
  <si>
    <t>SANACIJA KROVA - OŠ DRAGUTINA DOMJANIĆA</t>
  </si>
  <si>
    <t>IZRADA PROJEKTNE DOKUMETACIJE ZA REKONSTRUKCIJU MS "DINKO ŠIMUNOVIĆ", ŠRAPČEVA 12</t>
  </si>
  <si>
    <t>ZAMJENA DOTRAJALE OPREME U TOPLINSKOJ STANICI U OŠ JURE KAŠTELANA</t>
  </si>
  <si>
    <t>USKLAĐIVANJE STRATEŠKE STUDIJE I PLANA GOSPODARENJA OTPADOM GRADA ZAGREBA</t>
  </si>
  <si>
    <t>OBAVLJANJE USLUGA SISTEMATSKIH PREGLEDA</t>
  </si>
  <si>
    <t>ZASTUPANJE GRADA ZAGREBA</t>
  </si>
  <si>
    <t>I. ANEKS UGOVORU O IZRADI IDEJNOG PROJEKTA ZA IZMJEŠTANJE ŽELJEZNIČKOG KOLOSJEKA I REORGANIZACIJU KONTEJNERSKOG TERMINALA ZA POTREBE GRAĐENJA SAMOBORSKE ULICE OD ZAGREBAČKE CESTE DO ULICE ORANICE, REG. BROJ 189/12 OD 26.OŽUJKA 2012.</t>
  </si>
  <si>
    <t>KRAJOBRAZNO UREĐENJE DIJELA CENKOVEČKE ULICE</t>
  </si>
  <si>
    <t>SANACIJA DVORIŠTA KAZALIŠTA "KEREMPUH" U ILICI</t>
  </si>
  <si>
    <t>IZGRADNJA I REKONSTRUKCIJA DIJELA CENKOVEČKE ULICE ZA POTREBE IZGRADNJE OBJEKTA VRBANI K7-1 - STRUČNI NADZOR, GEODETSKI NADZOR, KONTROLNA ISPITIVANJA MATERIJALA I RADOVA</t>
  </si>
  <si>
    <t>SANACIJA PROČELJA KANONIČKOG DVORA - KAPTOL 23</t>
  </si>
  <si>
    <t>RESTAURATORSKI RADOVI NA BALKONIMA - UGLOVNICA PALMOTIĆEVA 10 - JURIŠIĆEVA 18</t>
  </si>
  <si>
    <t>DODATNI RADOVI NA UREĐENJE PLATOA ISPRED GLAVNOG ULAZA U KBC "SESTRE MILOSRDNICE" U VINOGRADSKOJ ULICI</t>
  </si>
  <si>
    <t>PLAN PROVOĐENJA TEMELJNIH PROMETNIH ISTRAŽIVANJA GRADA ZAGREBA</t>
  </si>
  <si>
    <t>IZGRADNJA I. ETAPE DIJELA BRANIMIROVE ULICE OD ZAVRTNICE DO HEINZELOVE ULICE - IZGRADNJA POTPORNIH ZIDOVA SA PROMETNOM SIGNALIZACIJOM I OPREMOM</t>
  </si>
  <si>
    <t>IZMJENA POKROVA NA STAROM DIJELU ZGRADE OŠ GROFA JANKA DRAŠKOVIĆA</t>
  </si>
  <si>
    <t>IZRADA PROJEKTNE DOKUMENTACIJE ZA IZGRADNJU KOMUNALNE INFRASTRUKTURE U ULICI 1 I ULICI 2 U NASELJU KAJZERICA</t>
  </si>
  <si>
    <t>IZRADA PROJEKTNE DOKUMENTACIJE ZA GRADNJU VODOOPSRKBNOG CJEVOVODA U ULICAMA: GLADNICA, GORENŠČAK, LEA MÜLLERA I ZAVRŠJE I. ODVOJAK</t>
  </si>
  <si>
    <t>UKLANJANJE OBJEKTA I SANACIJA TERENA NA K.Č. 3843 I K.Č. 3842 KO RUDEŠ</t>
  </si>
  <si>
    <t>IZRADA STRUČNE PODLOGE ZA DONOŠENJE ODLUKE O DOZVOLJENOM PREKORAČENJU RAZINE BUKE</t>
  </si>
  <si>
    <t>ČIŠĆENJE ODVODNJE MOSTOVA I VIJADUKATA</t>
  </si>
  <si>
    <t>II. ANEKS UGOVORU O SANACIJI GRAĐEVINE PŠ KOZJAK I SANACIJA ZABATNIH ZIDOVA, REG.BR. 688/11 OD 16. STUDENOGA 2011.</t>
  </si>
  <si>
    <t>DODATNI RADOVI NA IZVEDBI STRATEŠKE BUŠOTINE</t>
  </si>
  <si>
    <t>KOMPARATIVNA ANALIZA PROMETNO TEHNIČKIH I EKSPLOATACIJSKIH KARAKTERISTIKA BRZIH TRAČNIČKIH SUSTAVA U EUROPSKIM GRADOVIMA</t>
  </si>
  <si>
    <t>I. ANEKS UGOVORU O IZGRADNJI OBJEKTA PSIHIJATRIJSKE BOLNICE SVETI IVAN, REG. BR. 177/2012 OD 20. OŽUJKA 2012.</t>
  </si>
  <si>
    <t>OBNOVA PROČELJA ZVONIMIROVA 6</t>
  </si>
  <si>
    <t>PRUŽANJE USLUGA STRUČNOG OSPOSOBLJAVANJA - ENGLESKI JEZIK (PO AVGS METODI) ZA POTREBE SLUŽBE ZA EUROPSKE INTEGRACIJE</t>
  </si>
  <si>
    <t>IZRADA ELABORATA REALIZIRANIH KAPITALNIH PROJEKATA U GRADU ZAGREBU 2002-2012</t>
  </si>
  <si>
    <t>2. GODIŠNJI UGOVOR O PRUŽANJU USLUGA FIKSNE TELEFONIJE I PRISTUPA INTERNETU, REG. BROJ 524/2011 OD 13. RUJNA 2011.</t>
  </si>
  <si>
    <t>KEMIJSKO ČIŠĆENJE SPREMNIKA GORIVA I ČIŠĆENJE I ZBRINJAVANJE OTPADA SEPARATORA</t>
  </si>
  <si>
    <t>IZVOĐENJE RADOVI NA EEN MREŽI U KATANČIĆEVOJ ULICI</t>
  </si>
  <si>
    <t>NABAVA STAKLA, ORMARIĆA, KRAKOVA, BRAVICA I OSTALOG MATERIJALA ZA ODRŽAVANJE JAVNE RASVJETE</t>
  </si>
  <si>
    <t>IZRADA IDEJNOG RJEŠENJA ZA ULICU TRNJANSKI NASIP (PRODUŽENA) SA SPOJEVIMA NA ULICU PRISAVLJE</t>
  </si>
  <si>
    <t>IZVOĐENJE RADOVA NA ZAŠTITI I IZMJEŠTANJU ELEKTROINSTALACIJA SN I NN MREŽE NA RADNIČKOJ CESTI, DIONICA: ULICA GRADA VUKOVARA-ZAHAROVA ULICA</t>
  </si>
  <si>
    <t>IZGRADNJA PROMETNICE DIJELA ULICE REMETINEČKE CESTE NA K.Č.BR. 1044/1 K.O. BLATO</t>
  </si>
  <si>
    <t>ANEKS UGOVRU O UTVRĐIVANJE TRŽIŠNE VRIJEDNOSTI NEKRETNINA ZA 5. GRUPU - ZA PRODAJU STANOVA NA PODRUČJU GRADA ZAGREBA, REG. BROJ 416/2012 OD 02. LISTOPADA 2012.</t>
  </si>
  <si>
    <t>SANACIJA KLIZIŠTA U ULICI ČESMIČKOG</t>
  </si>
  <si>
    <t>ANEKS UGOVORU O IZVOĐENJE BRAVARSKIH RADOVA ZAMJENE PROZORA U ŠKOLI ZA TEKSTIL, KOŽU I DIZAJN, REG. BROJ 370/2012 OD 12. RUJNA 2012.</t>
  </si>
  <si>
    <t>NABAVA RADNO-ZAŠTITNE ODJEĆE ZA POSTROJBE OPĆE NAMJENE CIVILNE ZAŠTITE</t>
  </si>
  <si>
    <t>PRUŽANJE USLUGA OBRAZOVANJA ODRASLIH SUDIONIKA JAVNIH RADNIH AKTIVNOSTI</t>
  </si>
  <si>
    <t>SANACIJA ULIČNOG PROČELJA - HEBRANGOVA 6</t>
  </si>
  <si>
    <t>ANEKS UGOVORU O UREĐIVANJU PROSTORA OPĆE MEDICINE DOMA ZDRAVLJA "ZAGREB - CENTAR",  ULICA VLADIMIRA VARIĆAKA 1, REG. BROJ 497/2012 OD 12.11.2012</t>
  </si>
  <si>
    <t>GRADNJA JAVNOG KANALA NA BREZOVIČKOJ CESTI 39-43A</t>
  </si>
  <si>
    <t>ANEKS UGOVORU O KUPOPRODAJI BR. 3-12-N-OS-23/08, REG. BR. 167/2012 OD 14.OŽUJKA 2012</t>
  </si>
  <si>
    <t>SANACIJA ULIČNOG PROČELJA I KROVA MESNIČKA 29</t>
  </si>
  <si>
    <t>ANEKS UGOVORU O KRAJOBRAZNOM UREĐENJU SPOJNE PROMETNICE OD PRODUŽENE ULICE GRADA VUKOVARA DO SLAVONSKE AVENIJE - I ETAPA, REG. BROJ 331/12 OD 14. KOLOVOZA 2012.</t>
  </si>
  <si>
    <t>DODATNI RADOVI NA IZGRADNJI BRANIMIROVE ULICE OD ZAVRTNICE DO HEINZELOVE S KOMUNALNOM INFRASTRUKTUROM - JAVNA RASVJETA</t>
  </si>
  <si>
    <t>ANEKS UGOVORU O OPLOČENJU OKO KAPELICE MARIJE BISTRIČKE SLJEMENSKE, REG. BROJ 357/2012 OD 04.RUJNA 2012.</t>
  </si>
  <si>
    <t>IZRADA PROJEKTNO TEHNIČKE DOKUMENTACIJE ZA UREĐENJE PROMETNICA NA PODRUČJU GRADSKIH ČETVRTI – BREZOVICA, NOVI ZAGREB – ZAPAD, NOVI ZAGREB – ISTOK, TRNJE I TREŠNJEVKA JUG</t>
  </si>
  <si>
    <t>IZRADA PROJEKTNO TEHNIČKE DOKUMENTACIJE ZA UREĐENJE PROMETNICA NA PODRUČJU GRADSKIH ČETVRTI – PODSLJEME, GORNJA DUBRAVA, MAKSIMIR, GORNJI GRAD-MEDVEŠČAK, DONJI GRAD</t>
  </si>
  <si>
    <t>USLUGA SUZBIJANJA TIGRASTOG KOMARCA NA PODRUČJU GRADA ZAGREBA</t>
  </si>
  <si>
    <t>USLUGA ODRŽAVANJA FOTOKOPIRNIH I ISPISNIH UREĐAJA</t>
  </si>
  <si>
    <t>IZRADA TEHNIČKE DOKUMENTACIJE ZA POSTAVU SOLARNIH KOLEKTORA ZA PTV NA OBJEKTIMA GRADA ZAGREBA (DJEČJI VRTIĆI)</t>
  </si>
  <si>
    <t>UGOVOR O DUGOROČNOM KREDITU UZ VALUTNU KLAUZULU U EUR</t>
  </si>
  <si>
    <t>IZRADA PROJEKTNO- TEHNIČKE DOKUMENTACIJE ZA UREĐENJE PROMETNICA NA PODRUČJU GRADSKIH ČETVRTI: PODSUSED - VRAPČE, STENJEVEC, ČRNOMEREC I TREŠNJEVKA SJEVER</t>
  </si>
  <si>
    <t>II. ANEKS UGOVORU O IZGRADNJI OBJEKTA PSIHIJATRIJSKE BOLNICE SVETI IVAN, REG. BROJ 177/2012 OD 20.OŽUJKA 2012.</t>
  </si>
  <si>
    <t>GEODETSKO SNIMANJE OBJEKATA</t>
  </si>
  <si>
    <t>ODRŽAVANJE I NADOGRADNJA SUSTAVA ZA PRAĆENJE AKTIVNOSTI</t>
  </si>
  <si>
    <t>NAJAM VOZILA</t>
  </si>
  <si>
    <t>IZRADA PROJEKTNO TEHNIČKE DOKUMENTACIJE ZA UREĐENJE PROMETNICA NA PODRUČJU GRADSKIH ČETVRTI – SESVETE, PEŠČENICA I DONJA DUBRAVA</t>
  </si>
  <si>
    <t>PRUŽANJE RESTORANSKIH USLUGA</t>
  </si>
  <si>
    <t>NABAVA PREHRAMBENIH ARTIKALA ZA POTREBE DJEČJIH VRTIĆA GRADA ZAGREBA (NABAVA I ISPORUKA MLIJEKA I MLIJEČNIH PROIZVODA)</t>
  </si>
  <si>
    <t>IZRADA GLAVNOG I IZVEDBENOG PROJEKTA REKONSTRUKCIJE DIJELA PROMETNICE I IZGRADNJE AUTOBUSNIH STAJALIŠTA, S KOMUNALNOM INFRASTRUKTUROM, NA GLAVNOJ CESTI U NASELJU PREKVRŠJE</t>
  </si>
  <si>
    <t>II. ANEKS UGOVORU O REKONSTRUKCIJI I PROŠIRENJU RADNIČKE CESTE OD ULICE GRADA VUKOVARA DO HEINZELOVE ULICE - GRAĐEVINSKI RADOVI NA IZGRADNJI ELEKTROENERGETSKE MREŽE, REG. BROJ 278/12 OD 28. LIPNJA 2012.</t>
  </si>
  <si>
    <t>II. ANEKS UGOVORU O REKONSTRUKCIJI I PROŠIRENJU RADNIČKE CESTE OD ULICE GRADA VUKOVARA DO HEINZELOVE ULICE - RADOVI NA IZGRADNJI DTK MREŽE, REG. BROJ 340/12 OD 23. KOLOVOZA 2012.</t>
  </si>
  <si>
    <t>ANEKS UGOVORU O RADOVIMA NA POBOLJŠANJU JAVNE RASVJETE NA PODRUČJU VIJEĆA GRADSKIH ČETVRTI, REG. BROJ 374/12 OD 14. RUJNA 2012.</t>
  </si>
  <si>
    <t>STRUČNI NADZOR NAD RADOVIMA POPRAVAKA ZAŠTITNIH OGRADA NA STAJALIŠTIMA JAVNOG GRADSKOG PRIJEVOZA</t>
  </si>
  <si>
    <t>ODRŽAVANJE INSTALACIJA GRIJANJA, VENTILACIJA I PLINSKIH INSTALACIJA</t>
  </si>
  <si>
    <t>ANEKS UGOVORU O IZRADI PLANA OBNOVE I ODRŽAVANJA SJEVERNOG DIJELA SPOMENIKA PARKOVNE ARHITEKTURE PARK MAKSIMIR ZA 2012., REG. BR. 321/2012 OD 07.KOLOVOZA 2012.</t>
  </si>
  <si>
    <t>PRUŽANJE USLUGA CATERINGA</t>
  </si>
  <si>
    <t>IZVOĐENJE RADOVA NA PREMJEŠTANJU I ZAŠTITI POSTOJEĆIH EE INSTALACIJA ZA POTREBE IZGRADNJE CESTA I CESTOVNIH OBJEKATA</t>
  </si>
  <si>
    <t>IZRADA PARCELACIJSKIH ELABORATA ZA GRADNJU PROMETNICA U GRADSKIM ČETVRTIMA SESVETE, PEŠĆENICA - ŽITNJAK I DONJA DUBRAVA</t>
  </si>
  <si>
    <t>ANEKS UGOVORU O NABAVI ODJEĆE I OBUĆE KOMUNALNIH I PROMETNIH REDARA, REG. BROJ 503/2012 OD 13. STUDENOGA 2012.</t>
  </si>
  <si>
    <t>IZRADA PARCELACIJSKIH ELABORATA ZA GRADNJU PROMETNICA U GRADSKIM ČETVRTIMA PODSLJEME, GORNJA DUBRAVA, MAKSIMIR, GORNJI GRAD - MEDVEŠĆAK I DONJI GRAD</t>
  </si>
  <si>
    <t>III. ANEKS UGOVORU O REKONSTRUKCIJI I PROŠIRENJU RADNIČKE CESTE OD ULICE GRADA VUKOVARA DO HEINZELOVE ULICE - RADOVI NA IZGRADNJI CESTOVNE PROMETNICE S OBORINSKOM ODVODNJOM, GRAĐEVINSKI RADOVI ZA POTREBE SEMAFORSKIH INSTALACIJA I HUMUSIRANJE ZELENIH POVRŠINA, REG. BROJ 264/12 OD 21.LIPNJA 2012.</t>
  </si>
  <si>
    <t>ANEKS UGOVORU O RADOVIMA NA UREĐENJU PARKA KOD ISLAMSKOG CENTRA SA "SPOMEN OBILJEŽJEM BOŠNJACIMA", REG. BROJ 412/2011 OD 16. KOLOVOZA 2011.</t>
  </si>
  <si>
    <t>ENERGETSKI PREGLEDI ZGRADA U VLASNIŠTVU GRADA ZAGREBA - OSNOVNE ŠKOLE</t>
  </si>
  <si>
    <t>SPORAZUM O RASKIDU UGOVORA O IZRADI ELABORATA MEĐUOVISNOSTI POSTOJEĆEG DALEKOVODA DV 2X110 KV TS JARUN - TS RAKITJE I PLANIRANJE VRAPČANSKE AVENIJE OD JADRANSKE AVENIJE DO MOSTA JARUN</t>
  </si>
  <si>
    <t>IZRADA PARCELACIJSKIH ELABORATA ZA GRADNJU PROMETNICA U GRADSKIM ČETVRTIMA NOVI ZAGREB - ISTOK, NOVI ZAGREB - ZAPAD, TREŠNJEVKA JUG I BREZOVICA</t>
  </si>
  <si>
    <t>SANACIJA ULIČNOG PROČELJA I KROVA-RADIĆEVA 56</t>
  </si>
  <si>
    <t>SPORAZUM O RASKIDU UGOVORA O PREKRIVANJU KROVIŠTA, POSTAVLJANJU KROVNE LIMARIJE, SNJEGOBRANA I GROMOBRANA NA OBJEKTU MS "VURNOVEC", VURNOVEČKA ULICA 11</t>
  </si>
  <si>
    <t>IZRADA TEHNIČKE DOKUMENTACIJE ZA MODERNIZACIJU KOTLOVNICA (MJERA 6 IZ SEAP-A) - II. FAZA</t>
  </si>
  <si>
    <t>GRAĐENJE JAVNE RASVJETE U PRODUŽETKU ULICE VII. BUKOVAČKI ODVOJAK</t>
  </si>
  <si>
    <t>ANEKS UGOVORA O NABAVI NAMJEŠTAJA I OPREME - GŠ PAVLA MARKOVCA, REG. BROJ 487/2012 OD 07.STUDENOGA 2012.</t>
  </si>
  <si>
    <t>PRUŽANJE OSTALIH POŠTANSKIH USLUGE</t>
  </si>
  <si>
    <t>PRUŽANJE USLUGA TJELESNE ZAŠTITE OSOBA I IMOVINE U GRADSKIM JAVNIM USTANOVAMA KULTURE</t>
  </si>
  <si>
    <t>NABAVA VIDEO ZIDA</t>
  </si>
  <si>
    <t>RADOVI NA UREĐENJU POSLOVNOG PROSTORA U ZAGREBU, ULICA VILE VELEBITA 11 B</t>
  </si>
  <si>
    <t>STRUČNI I GEODETSKI NADZOR NAD IZVOĐENJEM RADOVA UREĐENJA PROMETNICA S ODVODNJOM NA PODRUČJU GRADSKIH ČETVRTI – BREZOVICA, NOVI ZAGREB – ZAPAD, NOVI ZAGREB – ISTOK, TRNJE I TREŠNJEVKA JUG</t>
  </si>
  <si>
    <t>IZGRADNJA PARKIRALIŠTA NA JAKUŠEVEČKOJ CESTI</t>
  </si>
  <si>
    <t>REKONSTRUKCIJA CESARČEVE I  KURELČEVE ULICE</t>
  </si>
  <si>
    <t>USLUGE DOBAVE STAKLA I IZVOĐENJE STAKLARSKIH RADOVA ZA POTREBE GRADSKE UPRAVE GRADA ZAGREBA</t>
  </si>
  <si>
    <t>IZRADA PARCELACIJSKIH ELABORATA ZA GRADNJU PROMETNICA U GRADSKIM ČETVRTIMA PODSUSED - VRAPČE, STENJEVEC, ČRNOMEREC I TREŠNJEVKA - SJEVER</t>
  </si>
  <si>
    <t>ODRŽAVANJE PODIZNIH STUPIĆA TKALČIĆEVA-KAPTOL</t>
  </si>
  <si>
    <t>REKONSTRUKCIJA ULICE SOKOLOVEC S KOMUNALNOM INFRASTRUKTUROM</t>
  </si>
  <si>
    <t>GRAĐENJE JAVNE RASVJETE OKOLIŠA K7-1 VRBANI</t>
  </si>
  <si>
    <t>USLUGE CESTOVNOG PRIJEVOZA PUTNIKA</t>
  </si>
  <si>
    <t>NABAVA FOTOKOPIRNIH UREĐAJA</t>
  </si>
  <si>
    <t>SANACIJA I OBNOVA ULIČNOG PROČELJA I KROVA - ĐORĐIĆEVA 3</t>
  </si>
  <si>
    <t>ANEKS UGOVORU O NABAVI NAMJEŠTAJA I OPREME ZA ŠKOLU ZA TEKSTIL, KOŽU I DIZAJN, REG. BR. 420/12 OD 03. LISTOPADA 2012.</t>
  </si>
  <si>
    <t>NABAVA CVIJEĆA I CVJETNIH ARANŽMANA</t>
  </si>
  <si>
    <t>IV. ETAPA IZGRADNJE OBJEKATA MS I DVD VRAPČE - JUG - DODATNI RADOVI</t>
  </si>
  <si>
    <t>DODATNI RADOVI NA REKONSTRUKCIJI I PROŠIRENJU RADNIČKE CESTE OD ULICE GRADA VUKOVARA DO HEINZELOVE ULICE - RADOVI NA IZGRADNJI CESTOVNE PROMETNICE S OBORINSKOM ODVODNJOM, GRAĐEVINSKI RADOVI ZA POTREBE SEMAFORSKIH INSTALACIJA I HUMUSIRANJE ZELENIH POVRŠINA</t>
  </si>
  <si>
    <t>UREĐENJE I OPREMANJE VANJSKOG IGRALIŠTA DV GRIGORA VITEZA, PO RUJANSKA,</t>
  </si>
  <si>
    <t>PRUŽANJE USLUGA PRIJENOSA I PRIJEVOZA NAMJEŠTAJA, INVENTARA, OPREME I ARHIVSKE GRAĐE ZA POTREBE GRADSKE UPRAVE GRADA ZAGREBA</t>
  </si>
  <si>
    <t>ODRŽAVANJE I POPRAVCI NADSTREŠNICA</t>
  </si>
  <si>
    <t>ZAMJENA VENTILOKONVEKTORA, INSTALACIJA GRIJANJA I HLAĐENJA I OPREME U TOPLINSKOJ STANICI, JAGIĆEVA 31</t>
  </si>
  <si>
    <t>IZVOĐENJE RADOVA NA UREĐENJU LIMENOG KROVA U MS "DEMERJE", DEMERSKA ULICA 33</t>
  </si>
  <si>
    <t>PRUŽANJE USLUGA BRAVARA  PRI STUPANJU U POSJED STANA, POSLOVNOG PROSTORA SA PROTUPROVALNIM VRATIMA ILI BRAVOM, TE U POSTUPKU PROVOĐENJA OVRHE RADI PREDAJE ZEMLJIŠTA U POSJED GRADU ZAGREBU</t>
  </si>
  <si>
    <t>IZRADA PROJEKTNE DOKUMENTACIJE  - "SPORTSKO REKREACIONI CENTAR NUR - BOROVJE"</t>
  </si>
  <si>
    <t>IZRADA TEHNIČKE DOKUMENTACIJE ZA OBNOVU TOPLINSKE IZOLACIJE VANJSKE OVOJNICE ZGRADA I ZAMJENE DOTRAJALE STOLARIJE (MJERA 5 I 6 IZ PROGRAMA ENERGETSKE UČINKOVITOSTI U NEPOSREDNOJ POTROŠNJI ENERGIJE)</t>
  </si>
  <si>
    <t>UREĐENJE CENTRALNE KUHINJE - OŠ IVANA MEŠTROVIĆA</t>
  </si>
  <si>
    <t>ANEKS UGOVORU O PRUŽANJU USLUGE ZAŠTITE OBJEKATA OSNOVNIH ŠKOLA GRADA ZAGREBA PUTEM CENTRALNOG DOJAVNOG SUSTAVA, REG. BROJ 50/2012 OD 01.VELJAČE 2012.</t>
  </si>
  <si>
    <t>PRIPREMA I IZRADA KARTOGRAFSKIH PRIKAZA IZMJENA I DOPUNA GENERALNOG URBANISTIČKOG PLANA ZAGREBA I SESVETA</t>
  </si>
  <si>
    <t>PRUŽANJE USLUGA GEOLOŠKIH PREGLEDA NA PODRUČJU GRADA ZAGREBA</t>
  </si>
  <si>
    <t>IZVOĐENJE GRAĐEVINSKO-OBRTNIČKIH RADOVA</t>
  </si>
  <si>
    <t>SANACIJA ODVODNJE I KANALIZACIJE II., VII., KLASIČNA GIMNAZIJA  I XVI. GIMNAZIJA</t>
  </si>
  <si>
    <t>PRIPREMA I IZRADA KARTOGRAFSKIH PRIKAZA IZMJENA I DOPUNA PROSTORNOG PLANA GRADA ZAGREBA</t>
  </si>
  <si>
    <t>ANEKS UGOVORU O STRUČNOM NADZORU NAD ODRŽAVANJEM POPLOČENJA PJEŠAČKO-KOLNIH PLOHA PJEŠAČKE ZONE UŽEG CENTRA GRADA ZAGREBA, REG. BROJ 671/11 OD 08. STUDENOG 2011.</t>
  </si>
  <si>
    <t>IZRADA RUDARSKO - GEOLOŠKE STUDIJE GRADA ZAGREBA</t>
  </si>
  <si>
    <t>SANACIJA KROVA OŠ NIKOLE TESLE</t>
  </si>
  <si>
    <t>OBNOVA PROČELJA I KROVA - MLETAČKA 5</t>
  </si>
  <si>
    <t>IZRADA PROJEKTNE DOKUMENTACIJE ZA DODATNU JAVNU RASVJETU ZA DJEČJA IGRALIŠTA I OBJEKAT MJESNE SAMOUPRAVE U ULICAMA: BURIĆEVA,  OŠ "TRNSKO" I MS "ODRA"</t>
  </si>
  <si>
    <t>IZRADA PROJEKTNE DOKUMENTACIJE ZA DOPUNU SEMAFORSKE INSTALACIJE I INSTALIRANJE INOVATIVNIH SIGNALNIH SEMAFORSKIH PROGRAMA NA ILICI (OD ZAGREBAČKE DO STIPANOVIĆEVE)</t>
  </si>
  <si>
    <t>GRADNJA JAVNOG KANALA U PIRINOVOJ ULICI-MEDVEDSKI BREG</t>
  </si>
  <si>
    <t>SANACIJA KROVA OSNOVNE ŠKOLE TINA UJEVIĆA</t>
  </si>
  <si>
    <t>SANACIJA KROVIŠTA- DV VJEVERICA- PO GRAČANI</t>
  </si>
  <si>
    <t>SANACIJA OSNOVNE DRVENE KONSTRUKCIJE- TEHNIČKI MUZEJ "HALA A" (II. FAZA)</t>
  </si>
  <si>
    <t>IZVOĐENJE RADOVA NA UREĐENJU PROMETNICA S ODVODNJOM NA PODRUČJU GRADSKIH ČETVRTI – BREZOVICA, NOVI ZAGREB–ZAPAD, NOVI ZAGREB–ISTOK, TRNJE I TREŠNJEVKA JUG</t>
  </si>
  <si>
    <t>SANACIJA KROVA- TREĆA EKONOMSKA ŠKOLA</t>
  </si>
  <si>
    <t>IZRADA GLAVNOG I IZVEDBENOG PROJEKTA ZA POTVRDU GLAVNOG PROJEKTA ZA GRAĐENJE SARAJEVSKE CESTE S KOMUNALNOM INFRASTRUKTUROM I TRAMVAJSKOM PRUGOM OD AVENIJE DUBROVNIK DO RANŽIRNOG KOLODVORA</t>
  </si>
  <si>
    <t>UREĐENJE ULICE VIKTORA KOVAČIĆA I IZGRADNJA PARKIRALIŠTA</t>
  </si>
  <si>
    <t>IZVOĐENJE RADOVA REKONSTRUKCIJE PROMETNICE KESTERČANEKOVA</t>
  </si>
  <si>
    <t>UGOVOR O PRUŽANJU USLUGA POPRAVAKA I ODRŽAVANJA KLIMA UREĐAJA ZA 4. GRUPU- ODRŽAVANJE UREĐAJA ZA KLIMATIZACIJU INSTALIRANIH U PALAČI DVERCE</t>
  </si>
  <si>
    <t>IZVOĐENJE GRAĐEVINSKO OBRTNIČKIH RADOVA</t>
  </si>
  <si>
    <t>ANEKS UGOVORU O IZRADI PROJEKTA IZVANREDNOG ODRŽAVANJA GAJEVE ULICE</t>
  </si>
  <si>
    <t>IZRADA IDEJNOG PROJEKTA SA ISHOĐENJEM LOKACIJSKE DOZVOLE ZA REKONSTRUKCIJU PRIMORSKE ULICE</t>
  </si>
  <si>
    <t>II. ANEKS UGOVORU O UREĐENJU OKOLIŠA OSNOVNE ŠKOLE PAVLEKA MIŠKINE REG. BR. 285/12 OD06.07.2012.</t>
  </si>
  <si>
    <t>IZRADA PROJEKTNE DOKUMENTACIJE ZA GRADNJU JAVNOG KANALA U ULICAMA: VIDIKOVAC, VALENOVAČKA, ZAVRŠJE I. ODVOJAK</t>
  </si>
  <si>
    <t>ANEKS UGOVORA O IZVOĐENJU SOBOSLIKARSKO LIČILAČKIH RADOVI NA ODRŽAVANJU OBJEKATA GRADSKE UPRAVE GRADA ZAGREBA, REG. BR. 101/2012. OD 16.02.2012.</t>
  </si>
  <si>
    <t>III. ANEKS UGOVORU O IZGRADNJI OBJEKTA PSIHIJATRIJSKE BOLNICE SVETI IVAN, REG. BR. 177/2012 OD 20.03.2012.</t>
  </si>
  <si>
    <t>IZVOĐENJE GRAĐEVINSKO OBRTNIČKIH RADOVA NA PO KORDUNSKA , DV KRIJESNICE</t>
  </si>
  <si>
    <t>USLUGA NAJMA KAMIONA ZA POTREBE PROVOĐENJA IZBORA ZA IZBOR GRADONAČELNIKA GRADA ZAGREBA, GRADSKIH ZASTUPNIKA U GRADSKOJ SKUPŠTINI GRADA ZAGREBA, ČLANOVA VIJEĆA GRADSKIH ČETVRTI, ČLANOVA VIJEĆA MJESNIH ODBORA I ZASTUPNIKA RH U EUROPSKI PARLAMENT</t>
  </si>
  <si>
    <t>NABAVA GLASAČKIH KUTIJA I PREGRADE ZA TAJNOST GLASOVANJA ZA POTREBE PROVOĐENJA IZBORA ZA IZBOR GRADONAČELNIKA GRADA ZAGREBA, GRADSKIH ZASTUPNIKA U GRADSKOJ SKUPŠTINI GRADA ZAGREBA, ČLANOVA VIJEĆA GRADSKIH ČETVRTI, ČLANOVA VIJEĆA MJESNIH ODBORA I ZASTUPNIKA RH U EUROPSKI PARLAMENT</t>
  </si>
  <si>
    <t>PROMJENA UPS BATERIJA U OBJEKTIMA PODRUČNI URED PEŠČENICA I PODRUČNI URED SUSEDGRAD</t>
  </si>
  <si>
    <t>NADZOR ZA ODRŽAVANJE NADSTREŠNICA</t>
  </si>
  <si>
    <t>PRUŽANJE SAVJETODAVNIH USLUGA NA PODRUČJU RAZVOJA - PROJEKT "UNAPREĐENJE AGRIKULTURNIH PRIGORSKIH KRAJOBRAZA GRADA ZAGREBA U SVRHU ODRŽIVOG RURALNOG RAZVOJA - UNAPREĐENJE DOSTUPNOSTI BIO  I KRAJOBRAZNE RAZNOLIKOSTI U AGRIKULTURNOM KRAJOBRAZU SESVETSKOG PRIGORJA"</t>
  </si>
  <si>
    <t>GRAĐENJE JAVNE RASVJETE PROMETNICA NA PODRUČJU GRADSKIH ČETVRTI DONJI GRAD, GORNJI GRAD - MEDVEŠČAK, MAKSIMIR, ČRNOMEREC, GORNJA DUBRAVA, DONJA DUBRAVA, PODSUSED-VRAPČE, PODSLJEME I SESVETE</t>
  </si>
  <si>
    <t>IZRADA PROJEKTNE DOKUMENTACIJE ZA ULIČNU JAVNU RASVJETU U ULICAMA: ŠČUKANČEVA, RASTOČKA DO HOLJAKOVE I  HORVATOVA</t>
  </si>
  <si>
    <t>PROJEKTIRANJE JAVNE RASVJETE ZBOG POVEZIVANJA VEĆ IZGRAĐENIH DIJELOVA U CJELINU - 2012. GODINA</t>
  </si>
  <si>
    <t>IZVOĐENJE PRIPREMNIH RADOVA ZA ASFALTERSKI PROGRAM</t>
  </si>
  <si>
    <t>USLUGE POPRAVAKA I ODRŽAVANJA KLIMA UREĐAJA: 1. GRUPA - ODRŽAVANJE KLIMATIZERA U OBJEKTIMA GRADSKE UPRAVE GRADA ZAGREBA</t>
  </si>
  <si>
    <t>IZRADA PROJEKTA SANACIJE OSNOVNE ŠKOLE JORDANOVAC</t>
  </si>
  <si>
    <t>SANACIJA RAVNOG KROVA- GRAFIČKA ŠKOLA</t>
  </si>
  <si>
    <t>ANEKS UGOVORU O PRUŽANJU USLUGA ZAŠTITE OBJEKATA SREDNJIH ŠKOLA I UČENIČKIH DOMOVA GRADA ZAGREBA PUTEM CENTRALNOG DOJAVNOG SUSTAVA, REG. BR. 48/12 OD 31. SIJEČNJA 2012</t>
  </si>
  <si>
    <t>SANACIJA TERASE U ULICI BOŽIDARA MAGOVCA ISPRED BR. 3, 9 I 15</t>
  </si>
  <si>
    <t>GRAĐENJE JAVNE RASVJETE U KATANČIĆEVOJ ULICI</t>
  </si>
  <si>
    <t>ANEKS UGOVORU O PRUŽANJU USLUGA CESTOVNOG PRIJEVOZA PUTNIKA, REG. BR. 39/13 OD 28. SIJEČNJA 2013</t>
  </si>
  <si>
    <t>NABAVA SOFTVERSKOG ALATA U SVRHU DEFINIRANJA I USPOSTAVE REPOZITORIJA POSLOVNIH PROCESA</t>
  </si>
  <si>
    <t>TONERI ZA FOTOKOPIRNE APARATE I PRINTERE ZA POTREBE PROVOĐENJA IZBORA ZA IZBOR GRADONAČELNIKA GRADA ZAGREBA, GRADSKIH ZASTUPNIKA U GRADSKOJ SKUPŠTINI GRADA ZAGREBA, ČLANOVA VIJEĆA GRADSKIH ČETVRTI, ČLANOVA VIJEĆA MJESNIH ODBORA I ZASTUPNIKA RH U EUROPSKI PARLAMENT</t>
  </si>
  <si>
    <t>NABAVA KANCELARIJSKOG MATERIJALA ZA POTREBE PROVOĐENJA IZBORA ZA IZBOR GRADONAČELNIKA GRADA ZAGREBA, GRADSKIH ZASTUPNIKA U GRADSKOJ SKUPŠTINI GRADA ZAGREBA, ČLANOVE VIJEĆA GRADSKIH ČETVRTI, ČLANOVI VIJEĆA MJESNIH ODBORA I ZASTUPNIKA RH U EUROPSKI PARLAMENT</t>
  </si>
  <si>
    <t>ANEKS UGOVORU O NABAVI NAMJEŠTAJA I OPREME ZA NOVOUREĐENE PROSTORE UPRAVNE I BIROTEHNIČKE ŠKOLE, REG. BR. 492/2012 OD 09.11.2012</t>
  </si>
  <si>
    <t>NABAVA UREĐAJA ZA ODREĐIVANJE HBA1C I GLUKOZE U KRVI</t>
  </si>
  <si>
    <t>IZGRADNJA NATKRIVENOG ODMORIŠTA S PRATEĆIM SADRŽAJIMA ZA OSOBE S INVALIDITETOM NA JARUNU</t>
  </si>
  <si>
    <t>SAVJETODAVNE USLUGE NA PODRUČJU RAZVOJA - PROJEKT "ANALIZA POLJOPRIVREDNE PROIZVODNJE I IZRADA KRITERIJA RANGIRANJA POLJOPRIVREDNIH GOSPODARSKIH SUBJEKATA NA PODRUČJU GRADA ZAGREBA S PRIJEDLOGOM MJERA POTPORA RURALNOM RAZVOJU"</t>
  </si>
  <si>
    <t>ANEKS UGOVORU O SANACIJI KOSOG KROVA OŠ VJENCESLAVA NOVAKA, REG. BROJ 515/2012 OD 16. STUDENOG 2012.</t>
  </si>
  <si>
    <t>USLUGA ČIŠĆENJA KOMUNALNE OPREME I PROČELJA ZGRADA OD GRAFITA TE UKLANJANJE PLAKATA S RAZLIČITIH POVRŠINA</t>
  </si>
  <si>
    <t>SANACIJA VANJSKIH DIJELOVA GRAĐEVINE (PROČELJA I KROVA) - BERISLAVIĆEVA 7</t>
  </si>
  <si>
    <t>SANACIJA KOSOG KROVA - OŠ DR. ANTE STARČEVIĆA</t>
  </si>
  <si>
    <t>SANACIJA KLIZIŠTA NA GROBLJU MIROGOJ</t>
  </si>
  <si>
    <t>UREĐENJE OBJEKTA GRADSKE UPRAVE NA LOKACIJI LJUDEVITA POSAVSKOG 48</t>
  </si>
  <si>
    <t>STRUČNI NADZOR NAD SANACIJOM OSNOVNE DRVENE KONSTRUKCIJE "HALA A" TEHNIČKOG MUZEJA (II FAZA)</t>
  </si>
  <si>
    <t>STRUČNI NADZOR NAD SANACIJOM I OBNOVOM PROČELJA I KROVA - LAGINJINA 9</t>
  </si>
  <si>
    <t>ANEKS UGOVORU O SANACIJU TEMELJNOG TLA I PUKOTINA, II., VII., KLASIČNA GIMNAZIJA I XVI. GIMNAZIJA REG. BR. 352/12 OD 01. RUJNA 2012.</t>
  </si>
  <si>
    <t>ANEKS UGOVORU O IZGRADNJI BRANIMIROVE ULICE OD ZAVRTNICE DO HEINZELOVE S KOMUNALNOM INFRASTRUKTUROM - CESTOVNA PROMETNICA S KANALIZACIJOM, REG. BR. 266/12 OD 2. LIPNJA 2012.</t>
  </si>
  <si>
    <t>NABAVA NATRON VREĆE ZA POTREBE PROVOĐENJA IZBORA ZA IZBOR GRADONAČELNIKA GRADA ZAGREBA, GRADSKIH ZASTUPNIKA U GRADSKOJ SKUPŠTINI GRADA ZAGREBA, ČLANOVA VIJEĆA GRADSKIH ČETVRTI, ČLANOVA VIJEĆA MJESNIH ODBORA I ZASTUPNIKA RH U EUROPSKI PARLAMENT</t>
  </si>
  <si>
    <t>USLUGE POPRAVAKA I ODRŽAVANJA KLIMA UREĐAJA:  3. GUPA - ODRŽAVANJE KLIMATIZACIJSKE OPREME STULZ U SERVER SOBI, TRG S. RADIĆA 1</t>
  </si>
  <si>
    <t>NOVA VES 53 - OBNOVA PROČELJA</t>
  </si>
  <si>
    <t>ANEKS UGOVORU O PRUŽANJU USLUGE ZAŠTITE OBJEKATA DJEČJIH VRTIĆA GRADA ZAGREBA PUTEM CENTRALNOG DOJAVNOG SUSTAVA, REG.BR. 75/2012 OD 08.VELJAČE 2012.</t>
  </si>
  <si>
    <t>UREĐENJE PROČELJA - GORNJE PREKRIŽJE 51</t>
  </si>
  <si>
    <t>STRUČNI NADZOR NAD REDOVNIM ODRŽAVANJEM NERAZVRSTANIH CESTA U NC I</t>
  </si>
  <si>
    <t>IZRADA PROJEKTA SANACIJE SANACIJE II NIVOA PETLJE DRŽIĆEVA</t>
  </si>
  <si>
    <t>IZRADA PROJEKTA SANACIJE JUŽNOG VIADUKTA I JUŽNE UPORNJAČKE PROSTORIJE JADRANSKOG MOSTA</t>
  </si>
  <si>
    <t>IZRADA PROJEKTA ISTRAŽNIH RADOVA I SANACIJE JUGOZAPADNOG VIJADUKTA MOSTA MLADOSTI</t>
  </si>
  <si>
    <t>SANACIJA KROVIŠTA DJEČJEG VRTIĆA MALI PRINC - PO JORDANOVAC</t>
  </si>
  <si>
    <t>GRAĐENJE JAVNE RASVJETE PROMETNICA NA PODRUČJU GRADSKIH ČETVRTI TRNJE, PEŠČENICA-ŽITNJAK, NOVI ZAGREB - ISTOK, NOVI ZAGREB - ZAPAD, TREŠNJEVKA - JUG, TREŠNJEVKA - SJEVER, STENJEVEC I BREZOVICA</t>
  </si>
  <si>
    <t>IZRADA PROJEKTA SANACIJE KLIZIŠTA U ULICI NIKOLE PUKŠECA</t>
  </si>
  <si>
    <t>NAJAM ŠATORA</t>
  </si>
  <si>
    <t>IZRADA PROJEKTA IZVANREDNOG ODRŽAVANJA SESVETSKE CESTE OD V. NAZORA DO ČVORA KRALJEVEČKI NOVAKI</t>
  </si>
  <si>
    <t>STRUČNI NADZOR NAD REDOVNIM ODRŽAVANJEM NERAZVRSTANIH CESTA U NC II</t>
  </si>
  <si>
    <t>IZVOĐENJE DODATNIH RADOVA IZGRADNJE DJEČJEG VRTIĆA "BLANJE", BLANJE BB</t>
  </si>
  <si>
    <t>II. ANEKS UGOVORA O KUPOPRODAJI BR. 3-12-N-OS-23/08, REG. BR. 167/2012 OD 14. OŽUJKA 2012.</t>
  </si>
  <si>
    <t>NAJAM VOZILA -RENTACAR ZA POTREBE PROVOĐENJA IZBORA ZA IZBOR GRADONAČELNIKA GRADA ZAGREBA, GRADSKIH ZASTUPNIKA U GRADSKOJ SKUPŠTINI GRADA ZAGREBA, ČLANOVA VIJEĆA GRADSKIH ČETVRTI, ČLANOVA VIJEĆA MJESNIH ODBORA I ZASTUPNIKA RH U EUROPSKI PARLAMENT</t>
  </si>
  <si>
    <t>IZGRADNJA RISNJAČKE ULICE S KOMUNALNOM INFRASTRUKTUROM</t>
  </si>
  <si>
    <t>IZGRADNJA AUTOBUSNOG STAJALIŠTA NA KARLOVAČKOJ CESTI</t>
  </si>
  <si>
    <t>SANACIJA PROČELJA (GRAĐEVINSKO OBRTNIČKI RADOVI) ŠKOLE ZA TEKSTIL</t>
  </si>
  <si>
    <t>IZRADA PROJEKTNE DOKUMENTACIJE (GLAVNI I IZVEDBENI PROJEKT) TE ISHOĐENJE GRAĐEVINSKE DOZVOLE - GRADSKO DRAMSKO KAZALIŠTE GAVELLA</t>
  </si>
  <si>
    <t>IZVOĐENJE GRAĐEVINSKO OBRTNIČKIH RADOVI NA DOVRŠENJU PRENAMJENE PROSTORA U PO RUJANSKA, DV GRIGORA VITEZA</t>
  </si>
  <si>
    <t>SANACIJA KROVA CENTRA ZA ODGOJ I OBRAZOVANJE</t>
  </si>
  <si>
    <t>IZRADA PODNE GLAZURE SA TERMOIZOLACIJOM U OBJEKTU MS I DVD VRAPČE - JUG, MEDARSKA 80</t>
  </si>
  <si>
    <t>ANEKS UGOVORU O GRADNJI JAVNOG KANALA U ZADVORSKOM, ZADVORSKA DO PRIGRADSKE, PRIGRADSKA, PRIGRADSKA III. ODVOJAK I ULICA FRKLIĆI, REG. BROJ 476/2012 OD 30. LISTOPADA 2012.</t>
  </si>
  <si>
    <t>SANACIJA PROČELJA I KROVA MATOŠEVA 1</t>
  </si>
  <si>
    <t>PROJEKTIRANJE JAVNE RASVJETE U NEHAJSKOJ ULICI</t>
  </si>
  <si>
    <t>NABAVA RTG SNIMAONE</t>
  </si>
  <si>
    <t>IZRADA GLAVNOG I IZVEDBENOG PROJEKTA ZA GRAĐENJE JUŽNOG DIJELA PJEŠAČKOG POTHODNIKA ISPOD ŽELJEZNIČKE PRUGE NA ŽELJEZNIČKOM KOLODVORU SESVETE</t>
  </si>
  <si>
    <t>GODIŠNJI UGOVOR O PRUŽANJU USLUGA ČIŠĆENJA KOMUNALNE OPREME I PROČELJA ZGRADA OD GRAFITA, TE UKLANJANJE PLAKATA S RAZLIČITIH POVRŠINA</t>
  </si>
  <si>
    <t>NASTAVAK SANACIJE STOLARIJE OSNOVNE ŠKOLE PREČKO</t>
  </si>
  <si>
    <t>UREĐENJE VANJSKIH IGRALIŠTA OŠ PREČKO - I.FAZA</t>
  </si>
  <si>
    <t>DV IZVOR, IZVEDBA NOVE PLINSKE KOTLOVNICE U DVORIŠTU OBJEKTA</t>
  </si>
  <si>
    <t>STRUČNI NADZOR NAD SANACIJOM TERASE U ULICI BOŽIDARA MAGOVCA ISPRED BR. 3, 9 I 15</t>
  </si>
  <si>
    <t>IZVOĐENJE RADOVA NA REKONSTRUKCIJI UPRAVLJANJA PODIZNIH PLATFORMI</t>
  </si>
  <si>
    <t>IZRADA TEHNIČKE DOKUMENTACIJE ZA SANACIJU ZAPADNE STRANE POVRŠINE BLOKA MACANOVIĆEVA, HORVAĆANSKA I HRGOVIĆI</t>
  </si>
  <si>
    <t>NABAVA RADNO-ZAŠTITNE OBUĆE ZA CIVILNU ZAŠTITU</t>
  </si>
  <si>
    <t>PROJEKTIRANJE JAVNE RASVJETE KRANJČEVIĆEVE ULICE</t>
  </si>
  <si>
    <t>ORGANIZACIJA I PROVEDBA  URBANISTIČKO -ARHITEKTONSKOG, PROJEKTNOG NATJEČAJA ZA IDEJNO RJEŠENJE KOMPLEKSA "MEĐUGORSKA "</t>
  </si>
  <si>
    <t>GODIŠNJI UGOVOR O NABAVI USLUGE KEMIJSKOG ČIŠĆENJA SPREMNIKA GORIVA I ČIŠĆENJE I ZBRINJAVANJE OTPADA SEPARATORA</t>
  </si>
  <si>
    <t>IZVOĐENJE RADOVA NA REKONSTRUKCIJI DIZALA NA KSAVERU</t>
  </si>
  <si>
    <t>SANACIJA PRIZEMNOG DIJELA PROČELJA - STROSSMAYEROV TRG 7</t>
  </si>
  <si>
    <t>ZAMJENA KOSOG KROVA OŠ ANTUNA GUSTAVA MATOŠA</t>
  </si>
  <si>
    <t>IZRADA GLAVNOG  - IZVEDBENOG PROJEKTA ZA UGRADNJU DIZALA U OBJEKTU STARA GRADSKA VIJEĆNICA</t>
  </si>
  <si>
    <t>ELEKTRIČNA ENERGIJA - OPSKRBA</t>
  </si>
  <si>
    <t>NABAVA MATERIJALA I DIJELOVA ZA TEKUĆE I INVESTICIJSKO ODRŽAVANJE OBJEKATA, POSTROJENJA I OPREME</t>
  </si>
  <si>
    <t>SANACIJA KROVA OŠ IVE ANDRIĆA</t>
  </si>
  <si>
    <t>II. GODIŠNJI UGOVOR O NABAVI ULJA ZA LOŽENJE EKSTRA LAKOG</t>
  </si>
  <si>
    <t>USLUGE TISKANJA, DISTRIBUCIJE I NAKLADNIČKOG SERVISA ZA IZRADU PUBLIKACIJE ZAGREB.HR</t>
  </si>
  <si>
    <t>UREĐENJE VINKOVAČKE I BIOKOVSKE ULICE S KOMUNALNOM INFRASTRUKTUROM-DOUGOVARANJE</t>
  </si>
  <si>
    <t>GRAĐENJE JAVNE RASVJETE U ULICI VIKTORA KOVAČIĆA</t>
  </si>
  <si>
    <t>ANEKS UGOVORU O ODRŽAVANJU I POPRAVCIMA NADSTREŠNICA, REG. BR. 47/2013 OD 30. SIJEČNJA 2013.</t>
  </si>
  <si>
    <t>SPORAZUM O RASKIDU UGOVORA O PRUŽANJU USLUGA CESTOVNOG PRIJEVOZA PUTNIKA</t>
  </si>
  <si>
    <t>ODRŽAVANJE TRAMVAJSKE PRUGE NA RASKRIŽJU AVENIJE MARINA DRŽIĆA I ULICE GRADA VUKOVARA</t>
  </si>
  <si>
    <t>NABAVA TRAČNICA ZA TRAMVAJSKE PRUGE</t>
  </si>
  <si>
    <t>IZGRADNJA JAVNOG KANALA U PRODUŽETKU ULICE VII. BUKOVAČKI OGRANAK</t>
  </si>
  <si>
    <t>GODIŠNJI UGOVOR O NABAVI RADNO-ZAŠTITNE OBUĆE ZA CIVILNU ZAŠTITU</t>
  </si>
  <si>
    <t>SPORAZUM O RASKIDU UGOVORA O ZAMJENI KOTLA ZA CENTRALNO GRIJANJE, PODRUČNI URED CENTAR</t>
  </si>
  <si>
    <t>NABAVA IVERAL PLOČA, NOGICA ZA STOLOVE, USLUGE REZANJA I KANTIRANJA, VIJAKA I AKU ODVIJAČA ZA POTREBE PROVOĐENJA IZBORA ZA IZBOR GRADONAČELNIKA GRADA ZAGREBA, GRADSKIH ZASTUPNIKA U GRADSKOJ SKUPŠTINI GRADA ZAGREBA, ČLANOVA VIJEĆA GRADSKIH ČETVRTI, ČLANOVA VIJEĆA MJESNIH ODBORA I ZASTUPNIKA IZ REPUBLIKE HRVATSKE U EUROPSKI PARLAMENT</t>
  </si>
  <si>
    <t>II. GODIŠNJI UGOVOR O NABAVI MOTORNOG BENZINA EUROSUPER BS 95 I DIESEL GORIVA EURODIESEL BS</t>
  </si>
  <si>
    <t>GRAĐENJE JAVNE RASVJETE PARKA PAVLA ŠVECA</t>
  </si>
  <si>
    <t>SANACIJA I OBNOVA PROČELJA SVAČIĆEV TRG 17 / PRERADOVIĆEVA 44</t>
  </si>
  <si>
    <t>IZRADA IDEJNIH PROJEKATA ZA ISHOĐENJE LOKACIJSKIH DOZVOLA ZA IZGRADNJU AUTOBUSNOG STAJALIŠTA U ULICI PANTOVČAK NASUPROT K.BR. 198, IZGRADNJU AUTOBUSNOG STAJALIŠTA U ULICI PANTOVČAK NASUPROT K.BR. 180 I IZGRADNJU AUTOBUSNIH STAJALIŠTA KOD ROTOR-RASKRIŽJA GORNJE PREKRIŽJE - PANTOVČAK - ŠESTINSKI VIJENAC</t>
  </si>
  <si>
    <t>STRUČNI  NADZOR NAD PREMJEŠTANJEM I ZAŠTITOM POSTOJEĆIH EEN INSTALACIJA ZA POTREBE IZGRADNJE CESTA I CESTOVNIH OBJEKATA</t>
  </si>
  <si>
    <t>IZRADA PROJEKTA REKONSTRUKCIJE PROMETNICE- OPATIČKA ULICA</t>
  </si>
  <si>
    <t>NABAVA MOTORNOG BENZA I DIZEL GORIVA</t>
  </si>
  <si>
    <t>IZRADA PROJEKTA IZVANREDNOG ODRŽAVANJA HUZJANOVE ULICE, ZADVORSKE I ULICE PETRA ZORANIĆA</t>
  </si>
  <si>
    <t>PROJEKTIRANJE NERAZVRSTANIH CESTA</t>
  </si>
  <si>
    <t>NABAVA PROJEKTA JAVNOG WI-FI MAN SUSTAVA GRADA ZAGREBA</t>
  </si>
  <si>
    <t>2. GODIŠNJI UGOVOR O NABAVI RADNO-ZAŠTITNE ODJEĆE ZA POSTROJBE OPĆE NAMJENE CIVILNE ZAŠTITE</t>
  </si>
  <si>
    <t>GRAĐENJE JAVNE RASVJETE U ČRNKOVEČKOJ ULICI</t>
  </si>
  <si>
    <t>ZAMJENA STOLARIJE OŠ TRNJANSKA</t>
  </si>
  <si>
    <t>IZRADA STRATEŠKE KARTE BUKE GRADA ZAGREBA</t>
  </si>
  <si>
    <t>POSTAVLJANJE SKULPTURE "MAKETA CENTRA GRADA ZAGREBA" U CESARČEVOJ ULICI</t>
  </si>
  <si>
    <t>DODATNI RADOVI NA IZGRADNJI PROMETNICE I KOMUNALNE INFRASTRUKTURE FOLNEGOVIĆEVA - RAPSKA</t>
  </si>
  <si>
    <t>ODRŽAVANJE I UREĐENJE STANOVA, POSLOVNIH PROSTORA I OBJEKATA U IMOVINI GRADA U STANJU PODOBNOM ZA STANOVANJE ODNOSNO KORIŠTENJE - DODATNI RADOVI</t>
  </si>
  <si>
    <t>SANACIJA KROVA ELEKTROSTROJARSKE OBRTNIČKE ŠKOLE</t>
  </si>
  <si>
    <t>IZGRADNJA OBJEKTA - SKLADIŠNO UREDSKA GRAĐEVINA - PSIHIJATRIJSKA BOLNICA "SVETI IVAN"</t>
  </si>
  <si>
    <t>DODATNI RADOVI NA IZGRADNJI ULICE ZINKE KUNC S KOMUNALNOM INFRASTRUKTUROM</t>
  </si>
  <si>
    <t>ANEKS UGOVORU O GRADNJI JAVNOG KANALA U HUDI BITEKU, HUDOBIČKA ULICA II. ODVOJAK I HUDOBIČKA ULICA IV. ODVOJAK, REG. BR. 518/12 OD 20.11.2012.</t>
  </si>
  <si>
    <t>STRUČNI NADZOR NAD DOGRADNJOM I ADAPTACIJOM OSNOVNE ŠKOLE PAVLEKA MIŠKINE</t>
  </si>
  <si>
    <t>GRAĐENJE JAVNE RASVJETE ŠOLJANOVE OD ŠIŽGORIĆEVE DO POTOKA VRAPČAK</t>
  </si>
  <si>
    <t>ANEKS UGOVORU O IZRADI PROJEKTNE DOKUMENTACIJE ZA GRADNJU VODOOPSKRBNOG CJEVOVODA U ULICAMA: LUČKI ODVOJAK 9-13, UNČANSKA, GAJ OD KBR. 67 DO KRAJA, GAJ OD KBR. 85 DO KRAJA I POLJSKI PUT, REG. BROJ 508/2012  OD 15.11.2012.</t>
  </si>
  <si>
    <t>GRADNJA JAVNE RASVJETE SKULPTURE "MAKETA CENTRA GRADA ZAGREBA" U ULICI AUGUSTA CESARCA</t>
  </si>
  <si>
    <t>IZGRADNJA KANALIZACIJSKE INSTALACIJE U RADNIČKOJ CESTI OD ULICE KOLEDOVČINA DO ŽELJEZNIČKE PRUGE</t>
  </si>
  <si>
    <t>ENERGETSKI INFORMACIJSKI SUSTAV, II FAZA</t>
  </si>
  <si>
    <t>ANEKS UGOVORU O IZRADI  TEHNIČKE DOKUMENTACIJE ZA OBNOVU TOPLINSKE IZOLACIJE VANJSKE OVOJNICE ZGRADA I ZAMJENE DOTRAJALE STOLARIJE (MJERA 5 I 6 IZ PROGRAMA ENERGETSKE UČINKOVITOSTI U NEPOSREDNOJ POTROŠNJI ENERGIJE), REG.BR.53/13 OD 1. VELJAČE 2013</t>
  </si>
  <si>
    <t>STRUČNI NADZOR IZGRADNJE RADNIČKE CESTE OD ULICE KOLEDOVČINA DO ŽELJEZNIČKE PRUGE</t>
  </si>
  <si>
    <t>ANEKS UGOVORU O IZRADI PROJEKTNE DOKUMENTACIJE ZA GRADNJU VODOOPSRKBNOG CJEVOVODA U ULICAMA: GLADNICA, GORENŠČAK, LEA MÜLLERA I ZAVRŠJE I. ODVOJAK, REG.BR. 605/2012 OD 11.PROSINAC 2012.</t>
  </si>
  <si>
    <t>PRVA FAZA USLUGE KAPACITET BIOMASE NA PODRUČJU GRADA ZAGREBA</t>
  </si>
  <si>
    <t>ANEKS UGOVORU O IZRADI PROJEKTNE DOKUMENTACIJE ZA GRADNJU JAVNOG KANALA U ULICAMA: VIDIKOVAC, VALENOVAČKA, ZAVRŠJE I. ODVOJAK, REG.BR. 79/2013 OD 18. VELJAČE 2013.</t>
  </si>
  <si>
    <t>ANEKS UGOVORU O IZRADI PROJEKTNE DOKUMENTACIJE ZA GRADNJU VODOOPSKRBNOG CJEVOVODA I JAVNOG KANALA U ULICI GORNJI BUKOVAC 18A I IZRADA PROJEKTNE DOKUMENTACIJE ZA GRADNJU JAVNOG KANALA U ULICI PUSTOSELINA 7/1 I DO 7/10, REG. BR. 468/2012 OD 25. LISTOPADA 2012.</t>
  </si>
  <si>
    <t>ANEKS UGOVORU O IZURADI PROJEKTNE DOKUMENTACIJE ZA GRADNJU JAVNOG KANALA U ULICAMA: JURKOVIĆI, ŠESTINSKI KRALJEVEC-ODVOJAK, TRSIŠĆE, PILATUŠČAK - DIO., REG. BR. 507/2012 OD 15.11.2012.</t>
  </si>
  <si>
    <t>ANEKS UGOVORU O IZRADI PROJEKTNE DOKUMENTACIJE ZA GRADNJU JAVNOG KANALA U ULICAMA: OTONA POSTRUŽNIKA, I. ORANIČKI ODVOJAK, ULDERIKA DONADINIA, TRUŠILOVIĆKA ULICA I ULICA VINKA PRIBOJEVIĆA, REG. BR. 539/2012 OD 30.11.2013.</t>
  </si>
  <si>
    <t>ANEKS UGOVORU O IZRADI PROJEKTNE DOKUMENTACIJE ZA GRADNJU JAVNOG KANAL U ULICAMA: A. ARBANASA I. ODVOJAK 12-7, I KBR. 12 DO K.Č. 3644/2, REMETINČKA CESTA 2, ULICA SV. IZIDORA 9-9F, REG. BR. 470/2012 OD 25.10.212.</t>
  </si>
  <si>
    <t>ANEKS UGOVORU O IZRADI PROJEKTNE DOKUMENTACIJE ZA GRADNJU VODOOPSKRBNOG CJEVOVODA U ULICAMA: KRAVARŠČANI-ODVOJAK, KOTOV BRIJEG, LUKAČINI-II. ETAPA, ČAPLINEC-ODVOJAK, SNJEŽNIČKE STUBE, SINBUK, SLANOVEČKI ODVOJAK, FRUŠČINJE, V. ROČIĆA-III.ETAPA, VIDOVEC-ODVOJAK, REG. BR. 469/2012 OD 25.10.2013.</t>
  </si>
  <si>
    <t>ANEKS UGOVORU O IZRADI PROJEKTNE DOKUMENTACIJE ZA GRADNJU VODOOPSKRBNOG CJEVOVODA U ULICAMA: ČEPINI, FABIJANIĆEVA ODVOJAK KOD KBR. 10, KLJUČARIĆI, LOZICA, NOVAČKA 318A, PREŠCI, RAKEKI OD KBR. 22 DO KRAJA, SLANOVEČKI ODVOJAK, ULICA SV. BARBARE - NASTAVAK PREMA BRANOVEČKOJ, ULICA SV. BARBARE - BUDAKI, ULICA ŠAFRANI, ŽITNA - PRODUŽETAK, REG. BR. 528/2012 OD 27.11.2012.</t>
  </si>
  <si>
    <t>ANEKS UGOVORU IZRADA PROJEKTNE DOKUMENTACIJE ZA GRADNJU VODOOPSKRBNOG CJEVOVODA U ULICAMA: KARLOVAČKA, ŠČUKANČEVA, BREZOVIČKA 39-43A, ULICA JURINE, REG. BR. 511/2012 OD 16.11.2012.</t>
  </si>
  <si>
    <t>ANEKS UGOVORU O IZRADI PROJEKTNE DOKUMENTACIJE ZA GRADNJU VODOOPSKRBNOG CJEVOVODA U LONJIČKOJ ULICI, VI. KOZARI PUT, DOLJANI, ČRNKOVEČKA ULICA, NOVI PETRUŠEVAC, V. RESNIK I II. RESNIK, REG. BROJ 471/2012 OD 25. LISTOPADA 2012.</t>
  </si>
  <si>
    <t>ANEKS UGOVORU IZRADA PROJEKTNE DOKUMENTACIJE ZA GRADNJU VODOOPSKRBNOG CJEVOVODA U ULICAMA: MERAŠKA ŽELJEZNIČKA, VINODOLSKA I JAVNOG KANALA U ULICAMA: ŽELJEZNIČKA REG. BROJ 527/2012 OD 27.11.2012.</t>
  </si>
  <si>
    <t>ANEKS UGOVORU O IZRADI PROJEKTNE DOKUMENTACIJE ZA GRADNJU JAVNOG KANALA U ULICAMA: F. MALNARA, SALJSKA, TURANJSKA, SISAČKA CESTA I. ODVOJAK, F. MALNARA VII. I VIII. ODVOJAK, POSEDARSKA III. ODVOJAK, L. NALETILIĆA, REG. BROJ. 467/2012 OD 25. LISTOPADA 2012.</t>
  </si>
  <si>
    <t>ANEKS UGOVORU O GRADNJI JAVNOG KANALA NA BREZOVIČKOJ CESTI 39-43A REG. BROJ 626/2012 OD 28.12.2012.</t>
  </si>
  <si>
    <t>ANEKS UGOVORU O IZRADI PROJEKTNE DOKUMENTACIJE ZA GRADNJU JAVNOG KANALA U ULICAMA: KARLOVAČKA 65D-65G, KUPINEČKA, KARLOVAČKA OD KANALA DO "TIFONA", DELKOVEČKA, K. MLINARIĆ 2-8, ULICA JURINE, REG.BROJ 448/2012 OD 18.10.2012.</t>
  </si>
  <si>
    <t>IZGRADNJA JAVNE RASVJETE U RADNIČKOJ CESTI OD ULICE KOLEDOVČINA DO ŽELJEZNIČKE PRUGE</t>
  </si>
  <si>
    <t>DOGRADNJA ŠKOLE OŠ BRESTJE</t>
  </si>
  <si>
    <t>IZVOĐENJE RADOVA NA OPLOČENJU OKO CRKVE U IVANJOJ REKI</t>
  </si>
  <si>
    <t>USLUGE GEODETSKIH RADOVA I GEODETSKOG NADZORA IZGRADNJE  RADNIČKE CESTE OD ULICE KOLEDOVČINA DO ŽELJEZNIČKE PRUGE</t>
  </si>
  <si>
    <t>ANEKS UGOVORU O IZRADI PROJEKTNE DOKUMENTACIJE ZA GRADNJU VODOOPSKRBNOG CJEVOVODA U ULICAMA: A. ARBANASA I. ODVOJAK 7-12, A. ARBANASA I. ODVOJAK OD KBR. 12 DO K.Č. 3644/2,  ULICA SV. IZIDORA 9-9F, SALJSKA, F. MALNARA IX. ODVOJAK, SISAČKA CESTA II. ODVOJAK, ČAVOGLAVSKA,POSEDARSKA, BURIĆEVA, SINJSKA I LUKORANSKA, REG. BROJ 533/12 OD 28. STUDENOG 2012.</t>
  </si>
  <si>
    <t>ANEKS UGOVORU O IZRADI PROJEKTNE DOKUMENTACIJE ZA GRADNJU JAVNOG KANALA U ZADVORSKOM: KAŠINCI, ZADVORSKA, KRUŽNA, PEKARSKA; U DESPRIMU: DESPRIMSKA, DREŽNIK, RAVNA; ODRANSKOM STRMCU: ČRNILO I STRMEČKA CESTA, REG. BROJ 466/12 OD 24.10.2012.</t>
  </si>
  <si>
    <t>ANEKS UGOVORU O IZRADI PROJEKTNE DOKUMENTACIJE ZA GRADNJU JAVNOG KANALA U ULICAMA: BRANOVEČINA, BRANOVEČKA C., DUDAKI ŽUGLIĆI, FABIJANIĆEVA ODVOJAK KOD KBR. 10, KUNTIĆI, NOVAČKI ZAVOJ, PUKLEKI, RAKEKI OD KBR. 22, STRAŽNJIČKI PUT ODVOJAK 1. I 5., MARIJE SNJEŽNE-IŠTVANIĆI I ŽITNA, REG,BR. 491/2012 OD 8.11.2012.</t>
  </si>
  <si>
    <t>USLUGE ODRŽAVANJA PROGRAMSKE OPREME GRUPA B. ODRŽAVANJE PROGRAMSKE OPREME GE I SS SMALLWORLD (VODGIS)</t>
  </si>
  <si>
    <t>ANEKS UGOVORU O IZRADI PROJEKTNE DOKUMENTACIJE ZA GRADNJU OBJEKTA MS "GAJEVO", KOPRIVNIČKA ULICA 47 REG. BROJ 521/2012 OD 22.11.2012.</t>
  </si>
  <si>
    <t>IZRADA GLAVNOG PROJEKTA S ISHOĐNJEM POTVRDE GLAVNOG PROJEKTA ZA PRISTUPNE PROMETNICE S KOMUNALNOM INFRASTRUKTUROM NA LOKACIJI UPU DEGIDOVEC</t>
  </si>
  <si>
    <t>UGRADNJA PLATFORME ZA OSOBE S INVALIDITETOM U BEETHOVENOVOJ ULICI</t>
  </si>
  <si>
    <t>IZRADA PRIJEDLOGA INTERVENCIJA U OKOLIŠ S CILJEM ZAŠTITE VODNIH STANIŠTA</t>
  </si>
  <si>
    <t>HORIZONTALNA I VERTIKALNA PROMETNA SIGNALIZACIJA I PRIVREMENA REGULACIJA NA IZGRADNJI RADNIČKE CESTE OD ULICE KOLEDOVČINA DO ŽELJEZNIČKE PRUGE</t>
  </si>
  <si>
    <t>II.GODIŠNJI UGOVOR O PRUŽANJU USLUGA UKLANJANJA OBJEKATA LJETNIH TERASA, POKRETNIH NAPRAVA, REKLAMNIH PANOA I OZNAKA, TE RAZNOG GRAĐEVINSKOG MATERIJALA</t>
  </si>
  <si>
    <t>ANEKS UGOVORU O PRUŽANJU RESTORANSKIH USLUGA REG. BROJ 10/2013 OD 08.SIJEČNJA 2013.</t>
  </si>
  <si>
    <t>ANEKS UGOVORU O SANACIJA KROVA MS" PREČKO", PREČKO 2A, REG.BR. 402/12 OD 27.09.2012.</t>
  </si>
  <si>
    <t>ANEKS UGOVORU O IZRADI PROJEKTNE DOKUMETACIJE ZA REKONSTRUKCIJU MS "DINKO ŠIMUNOVIĆ", ŠRAPČEVA 12, REG. BROJ 545/12 OD 05.12.2012.</t>
  </si>
  <si>
    <t>NABAVA RAČUNALA, PRIJENOSNIH RAČUNALA, PISAČA, SERVERSKIH POSLUŽITELJA I NADOGRADNJA MREŽNE OPREME, TE DODATNE OPREME</t>
  </si>
  <si>
    <t>UKLANJANJE OBJEKTA NA LOKACIJI SLAVKA BATUŠIĆA 2</t>
  </si>
  <si>
    <t>POPRAVCI OŠTEĆENIH ELEMENATA OBORINSKE ODVODNJE NA JAVNIM POVRŠINAMA</t>
  </si>
  <si>
    <t>GRAĐENJE JAVNE RASVJETE U IVANJOREČKOJ ULICI</t>
  </si>
  <si>
    <t>UREĐENJE INSTALACIJE JAKE STRUJE I RASVJETE-IX. GIMNAZIJA</t>
  </si>
  <si>
    <t>ANEKS UGOVORU O IZRADI STRUČNE PODLOGE ZA DONOŠENJE ODLUKE O DOZVOLJENOM PREKORAČENJU RAZINE BUKE, REG. BROJ 607/2012 OD 11.12.2012.</t>
  </si>
  <si>
    <t>II. GODIŠNJI UGOVOR O ODRŽAVANJU INFORMATIČKOG SUSTAVA I OPREME</t>
  </si>
  <si>
    <t>PROJEKT SANACIJE KLIZIŠTA VELIKI BRIJEG, SESVETE, BLAGUŠA</t>
  </si>
  <si>
    <t>KONTROLNA ISPITIVANJA MATERIJALA I RADOVA PRI IZGRADNJI RADNIČKE CESTE OD ULICE KOLEDOVČINA DO ŽELJEZNIČKE PRUGE</t>
  </si>
  <si>
    <t>IZGRADNJA MRTVAČNICE NA GROBLJU U RESNIKU - DODATNI RADOVI</t>
  </si>
  <si>
    <t>IZVOĐENJE RADOVA NA SEMAFORIZACIJI RISNJAČKE ULICE</t>
  </si>
  <si>
    <t>PRUŽANJE USLUGA OGLAŠAVANJE INFORMACIJA I PORUKA GRAĐANIMA, ČESTITKI, APELA I DRUGIH SADRŽAJA</t>
  </si>
  <si>
    <t>DODATNI RADOVI NA IZGRADNJI VODOOPSKRBNOG CJEVOVODA I JAVNOG KANALA U DIJELU CANKAROVE ULICE</t>
  </si>
  <si>
    <t>IV. ANEKS UGOVORU O IZGRADNJI OBJEKTA PSIHIJATRIJSKE BOLNICE SVETI IVAN, REG. BROJ 177/2012 OD 20.03.2012.</t>
  </si>
  <si>
    <t>NABAVA SRCIŠTA I KRIŽALIŠTA ZA TRAMVAJSKE PRUGE</t>
  </si>
  <si>
    <t>GRAĐENJE JAVNE RASVJETE REMETINEČKE CESTE</t>
  </si>
  <si>
    <t>IZRADA IDEJNOG PROJEKTA ORGANIZACIJE INTEGRIRANOG PUTNIČKOG PRIJEVOZA</t>
  </si>
  <si>
    <t>IZRADA IDEJNOG PROJEKTA TARIFNOG SUSTAVA ZA INTEGRIRANI PRIJEVOZ</t>
  </si>
  <si>
    <t>II. ANEKS UGOVORU O GRADNJI JAVNOG KANALA U ZADVORSKOM, ZADVORSKA DO PRIGRADSKE, PRIGRADSKA, PRIGRADSKA III. ODVOJAK I ULICA FRKLIĆI, REG.BROJ 476/2012 OD 30.10.2012</t>
  </si>
  <si>
    <t>NABAVA POSLOVNE ODJEĆA VOZAČA</t>
  </si>
  <si>
    <t>OSIGURANJE IMOVINE GRUPA A) DJEČJI VRTIĆI</t>
  </si>
  <si>
    <t>OSIGURANJE IMOVINE GRUPA B) OSNOVNE ŠKOLE</t>
  </si>
  <si>
    <t>OSIGURANJE IMOVINE GRUPA C) SREDNJE ŠKOLE I UČENIČKI DOMOVI</t>
  </si>
  <si>
    <t>IZVOĐENJE RADOVA NA UREĐENJU PROMETNICA S ODVODNJOM NA PODRUČJU GRADSKIH ČETVRTI - SESVETE, PEŠČENICA I  DONJA DUBRAVA</t>
  </si>
  <si>
    <t>IZVOĐENJE RADOVA NA UREĐENJU PROMETNICA S ODVODNJOM NA PODRUČJU GRADSKIH ČETVRTI - PODSLJEME, GORNJA DUBRAVA, MAKSIMIR, GORNJI GRAD - MEDVEŠČAK, DONJI GRAD</t>
  </si>
  <si>
    <t>IZGRADNJA ULICE ROBERTA MIHANOVIĆA FRANGEŠA S KOMUNALNOM INFRASTRUKTUROM - DODATNI RADOVI</t>
  </si>
  <si>
    <t>IZMJENA PROJEKTNE DOKUMENTACIJE I USLUGE PROJEKTANTSKOG NADZORA IZGRADNJE RADNIČKE CESTE OD ULICE KOLEDOVČINA DO ŽELJEZNIČKE PRUGE</t>
  </si>
  <si>
    <t>USLUGA SUZBIJANJA KOMARACA NA PODRUČJU GRADA ZAGREBA</t>
  </si>
  <si>
    <t>IZVOĐENJE DODATNIH RADOVA NA IZGRADNJI KNINSKE ULICE I PRODUŽENE ZADARSKE ULICE S KOMUNALNOM INFRASTRUKTUROM SA SPOJEM NA SELSKU CESTU</t>
  </si>
  <si>
    <t>ANEKS UGOVORU O IZVOĐENJU DODATNIH RADOVA IZGRADNJE DJEČJEG VRTIĆA "BLANJE", BLANJE BB, REG. BROJ 127/2013 OD 07.03.2013.</t>
  </si>
  <si>
    <t>ANEKS UGOVORU O IZGRADNJI DJEČJEG VRTIĆA "BLANJE", BLANJE BB, REG. BROJ 351/2012 OD 30.08.2012.</t>
  </si>
  <si>
    <t>USKLAĐENJE GLAVNIH I IZVEDBENIH PROJEKATA S NOVOM REGULATIVOM GARAŽE ISPOD SREDNJOŠKOLSKOG IGRALIŠTA "SAVSKA - KLAIĆEVA - KAČIĆEVA - KRŠNJAVOG" I PJEŠAČKOG POTHODNIKA ISPOD KLAIĆEVE ULICE</t>
  </si>
  <si>
    <t>POZICIONIRANJE ELEMENATA JAVNE RASVJETE U PROSTORU - GEODETSKO SNIMANJE</t>
  </si>
  <si>
    <t>RADOVI NA UREĐENJU POSLOVNOG PROSTORA U ZAGREBU, ULICA VILE VELEBITA 11 B - DODATNI RADOVI</t>
  </si>
  <si>
    <t>IZVOĐENJE DODATNIH RADOVA NA SANACIJI PROČELJA ZGRADE, RADIĆEVA 5</t>
  </si>
  <si>
    <t>DOPUNA PROJEKTNE DOKUMENTACIJE ZA DOGRADNJU OSNOVNE ŠKOLE REMETE</t>
  </si>
  <si>
    <t>ANEKS UGOVORU O STRUČNOM NADZORU NAD RADOVIMA GRAĐENJA, REKONSTRUKCIJE I ODRŽAVANJA OBJEKATA MJESNIH SAMOUPRAVA I DRUGIH JAVNIH OBJEKATA</t>
  </si>
  <si>
    <t>ANEKS UGOVORU O IZRADI PROJEKTNE DOKUMENTACIJE ZA IZGRADNJU JAVNE RASVJETE U ULICAMA: GRAČANSKA CESTA, ULICA TREŠNJINA CVIJETA, PODREBERNICA, ŠESTINSKI TRG,  IGRALIŠTA KOD OŠ VIDOVEC</t>
  </si>
  <si>
    <t>PRUŽANJE USLUGA ZAŠTITE OBJEKATA PUTEM CENTRALNOG DOJAVNOG SUSTAVA - A) DJEČJI VRTIĆI</t>
  </si>
  <si>
    <t>PRUŽANJE USLUGA ZAŠTITE OBJEKATA PUTEM CENTRALNOG DOJAVNOG SUSTAVA -B)OSNOVNE ŠKOLE</t>
  </si>
  <si>
    <t>PRUŽANJU USLUGA ZAŠTITE OBJEKATA PUTEM CENTRALNOG DOJAVNOG SUSTAVA - C) SREDNJE ŠKOLE I UČENIČKI DOMOVI</t>
  </si>
  <si>
    <t>ANEKS UGOVORU IZRADA PROJEKTNE DOKUMENTACIJE ZA POSTAVU STUPOVA I JAVNE RASVJETE U ULICAMA: DRAGUTINA DOMJANIĆA-PRIGORSKA ULICA, JESENOVEČKA CESTA, ODVOJAK BOLČEVIĆI - PRIGORSKA ULICA, PRIGORSKA ULICA REG. BROJ 499/2012 OD 13.11.2012.</t>
  </si>
  <si>
    <t>NABAVA I UGRADNJA PLOČICA ZA OZNAČAVANJE ZGRADA BROJEVIMA</t>
  </si>
  <si>
    <t>OSIGURANJE RADNIKA DJEČJIH VRTIĆA GRADA ZAGREBA OD POSLJEDICA NESRETNOG SLUČAJA (NEZGODE)</t>
  </si>
  <si>
    <t>USLUGA NAJMA AUTOBUSA ZA PRIJEVOZ ŠKOLSKE DJECE U PROJEKTU MAH 1</t>
  </si>
  <si>
    <t>STRUČNI NADZOR NAD REDOVNIM ODRŽAVANJEM NERAZVRSTANIH CESTA U NC III</t>
  </si>
  <si>
    <t>STRUČNI NADZOR NAD REDOVNIM ODRŽAVANJEM NERAZVRSTANIH CESTA U NC IV</t>
  </si>
  <si>
    <t>DOGRADNJA I ADAPTACIJA OŠ PAVLEKA MIŠKINE</t>
  </si>
  <si>
    <t>III. ANEKS UGOVORU O GRADNJI JAVNOG KANALA U ZADVORSKOM, ZADVORSKA DO PRIGRADSKE, PRIGRADSKA, PRIGRADSKA III. ODVOJAK I ULICA FRKLIĆI, REG. BR. 476/2012. OD 30. LISTOPADA 2012.</t>
  </si>
  <si>
    <t>IZVOĐENJE SOBOSLIKARSKIH I LIČILAČKIH RADOVA U OBJEKTIMA MJESNE SAMOUPRAVE</t>
  </si>
  <si>
    <t>POPRAVCI UREĐAJA U PROTUEKSPLOZIJSKOJ IZVEDBI U KOTLOVNICAMA OBJEKATA GRADSKE UPRAVE GRADA ZAGREBA</t>
  </si>
  <si>
    <t>NABAVA PREHRAMBENIH ARTIKALA ZA POTREBE DJEČJIH VRTIĆA GRADA ZAGREBA ( NABAVA I ISPORUKA ŽIVOTINJSKIH I BILJNIH ULJA I MASTI ) ZA GRUPU 3-ZONU 3-TRNJE, TREŠNJEVKA SJEVER, TREŠNJEVKA JUG, STENJEVEC, REG. BR. 311/2012 OD 01. KOLOVOZA 2012.</t>
  </si>
  <si>
    <t>IZRADA TEHNIČKE DOKUMENTACIJE ZA POSTAVU FOTONAPONSKIH SUSTAVA</t>
  </si>
  <si>
    <t>NABAVA BOŽIĆNIH DRVACA ZA BOŽIĆNO I NOVOGODIŠNJE UREĐENJE GRADA ZAGREBA 2013./2014.</t>
  </si>
  <si>
    <t>ANEKS UGOVORU O SANACIJI RAVNOG KROVA- GRAFIČKA ŠKOLA, REG. BROJ 92/13 OD 21.02. 2013.</t>
  </si>
  <si>
    <t>IZVOĐENJE RADOVA NA SEMAFORIZACIJI PJEŠAČKOG PRIJELAZA NA MAKSIMIRSKOJ CESTI KOD ULICE FAKULTETSKO DOBRO</t>
  </si>
  <si>
    <t>NABAVA I MONTAŽA OPREME ZA GRIJANJE I HLAĐENJE - KLIMA UREĐAJA</t>
  </si>
  <si>
    <t>SPORAZUM O RASKIDU OKVIRNOG SPORAZUMA ZA NABAVU PREHRAMBENIH ARTIKALA ZA POTREBE DJEČJIH VRTIĆA GRADA ZAGREBA ( NABAVA I ISPORUKA ŽIVOTINJSKIH I BILJNIH ULJA I MASTI ) ZA GRUPU 1-ZONU 1-MAKSIMIR, GORNJI GRAD-MEDVEŠČAK, DONJI GRAD, ČRNOMEREC, PODSUSED-VRAPČE, REG. BROJ 312/2012 OD 01.08.2012</t>
  </si>
  <si>
    <t>IZGRADNJA PROMETNICE S OBORINSKOM ODVODNJOM CANKAROVE ULICE - DODATNI RADOVI</t>
  </si>
  <si>
    <t>IZMJENA I DOPUNA IDEJNIH I GLAVNIH PROJEKATA ZA REKONSTRUKCIJU I PROŠIRENJE RADNIČKE CESTE OD ULICE GRADA VUKOVARA DO HEINZELOVE ULICE</t>
  </si>
  <si>
    <t>KRAJOBRAZNO UREĐENJE JAVNIH ZELENIH POVRŠINA NA PODRUČJU GRADA ZAGREBA</t>
  </si>
  <si>
    <t>NABAVA RADNE ODORE ZAŠTITARA I ČUVARA - SAKOI, HLAČE I SUKNJE</t>
  </si>
  <si>
    <t>IGRADNJA DESNOG SKRETAČA SA SLAVONSKE AVENIJE NA MAROFSKU CESTU</t>
  </si>
  <si>
    <t>NABAVA USLUGA PODRŠKE I RAZVOJA INFORMACIJSKOG SUSTAVA GRADA ZAGREBA I PODRŠKA PRODUKCIJI DOKUMENATA</t>
  </si>
  <si>
    <t>NABAVA USLUGA CATERING ZA POTREBE GRADSKE SKUPŠTINE GRADA ZAGREBA</t>
  </si>
  <si>
    <t>IZGRADNJA OBJEKTA DJEČJEG VRTIĆA KAJZERICA</t>
  </si>
  <si>
    <t>SPORAZUM O RASKIDU OKVIRNOG SPORAZUMA ZA NABAVU PREHRAMBENIH ARTIKALA ZA POTREBE DJEČJIH VRTIĆA GRADA ZAGREBA ( NABAVA I ISPORUKA ŽIVOTINJSKIH I BILJNIH ULJA I MASTI ) ZA GRUPU 2-ZONU 2-SESVETE, GORNJA DUBRAVA, DONJA DUBRAVA,POSLJEME I GRUPU 4-ZONU 4-PEŠČENICA-ŽITNJAK, NOVI ZAGREB ISTOK, NOVI ZAGREB ZAPAD, BREZOVICA, REG. BROJ 313/2012 OD 01. KOLOVOZA 2012.</t>
  </si>
  <si>
    <t>IZRADA TEHNIČKE DOKUMENTACIJE ZA MODERNIZACIJU KOTLOVNICE</t>
  </si>
  <si>
    <t>IZGRADNJA CESTOVNE PROMETNICE S OBORINSKOM ODVODNJOM U RADNIČKOJ  CESTI OD ULICE KOLEDOVČINA DO ŽELJEZNIČKE PRUGE</t>
  </si>
  <si>
    <t>GODIŠNJI UGOVOR O OSIGURANJU IMOVINE GRUPA B) OSNOVNE ŠKOLE</t>
  </si>
  <si>
    <t>GODIŠNJI UGOVOR O OSIGURANJU IMOVINE GRUPA C) SREDNJE ŠKOLE I UČENIČKI DOMOVI</t>
  </si>
  <si>
    <t>RADOVI NA DOVRŠENJU IZGRADNJE OBJEKTA OSNOVNE ŠKOLE REMETE</t>
  </si>
  <si>
    <t>GODIŠNJI UGOVOR O OSIGURANJU IMOVINE GRUPA A) DJEČJI VRTIĆI</t>
  </si>
  <si>
    <t>IZRADA GLAVNOG I IZVEDBENOG PROJEKTA ZA ODVOJAK STROJARSKE CESTE OZNAKE C2 S PRIPADAJUĆOM KOMUNALNOM INFRASTRUKTUROM</t>
  </si>
  <si>
    <t>IZRADA TEHNIČKE DOKUMENTACIJE ZA MODERNIZACIJU RASVJETE U GRADSKIM OBJEKTIMA</t>
  </si>
  <si>
    <t>NABAVA RAZNIH PREHRAMBENIH PROIZVODA I PIĆA ZA POTREBE GRADSKE SKUPŠTINE GRADA ZAGREBA</t>
  </si>
  <si>
    <t>ANEKS UGOVORU O GRADNJI DJEČJEG VRTIĆA I POTPORNOG ZIDA U VUGROVCU DONJEM, ULICA AUGUSTA ŠENOE 28, KOD OŠ VUGROVEC-KAŠINA, REG. BROJ 442/2012 OD 15.10.2012.</t>
  </si>
  <si>
    <t>SPORAZUM O RASKIDU UGOVORA O IZGRADNJI  JAVNOG KANALA U ULICI VIDA ROČIĆA OD ULICE MEDUCIN DO K.BR. 68</t>
  </si>
  <si>
    <t>III. ANEKS UGOVORU O SANACIJI GRAĐEVINE PŠ KOZJAK I SANACIJI ZABATNIH ZIDOVA, REG. BR. 688/11 OD 16.11.2011.</t>
  </si>
  <si>
    <t>KIPARSKO RESTAURATORSKI I GRAĐEVINSKO OBRTNIČKI RADOVI NA ULIČNOM PROČELJU STAMBENE ZGRADE, PALMOTIĆEVA 55</t>
  </si>
  <si>
    <t>OPREMANJE MEDICINSKOM OPREMOM ODJELA III A PSIHIJATRIJSKE BOLNICE "SVETI IVAN"</t>
  </si>
  <si>
    <t>NABAVA USLUGA FIKSNE TELEFONIJE - DJEČJI VRTIĆI, OSNOVNE ŠKOLE, SREDNJE ŠKOLE</t>
  </si>
  <si>
    <t>DODATNI RADOVI NA SANACIJI KROVA OŠ IVANA MEŠTROVIĆA</t>
  </si>
  <si>
    <t>ANEKS UGOVORU O RESTAURACIJI NAMJEŠTAJA U PALAČI DVERCE, REG. BROJ 9/2012 OD 13.01.2012</t>
  </si>
  <si>
    <t>STRUČNI NADZOR-SANACIJA KLIZIŠTA ZELENGAJ</t>
  </si>
  <si>
    <t>IZVOĐENJE GRAĐEVINSKIH RADOVA IZGRADNJE PROMETNICA, STAZA, KANALIZACIJE I VODOVODA- GAJ URNI</t>
  </si>
  <si>
    <t>IZVOĐENJE RADOVA NA DOPUNI SEMAFORIZIRANOG RASKRIŽJA SAVEZNE REPUBLIKE NJEMAČKE - BOLŠIĆEVA</t>
  </si>
  <si>
    <t>NABAVA USLUGE PERIODIČNIH PREGLEDA I ISPITIVANJA PREMA GRUPAMA PREDMETA NABAVE: 1. GRUPA: PERIODIČNI PREGLEDI I ISPITIVANJE ELEKTRIČNIH I GROMOBRANSKIH INSTALACIJA, STABILNIH SUSTAVA ZA DOJAVU I GAŠENJE POŽARA, STROJEVA I UREĐAJA S POVEĆANIM OPASNOSTIMA I FAKTORA RADNE OKOLINE, 2. GRUPA: ISPITIVANJE NEPROPUSNOSTI PLINSKIH INSTALACIJA U PLINSKIM KOTLOVNICAMA, TE ZA PLINSKA TROŠILA</t>
  </si>
  <si>
    <t>ODRŽAVANJE UREĐAJA U PROTUEKSPLOZIJSKOJ IZVEDBI U OBJEKTIMA GRADSKE UPRAVE</t>
  </si>
  <si>
    <t>USLUGE POPRAVAKA I ODRŽAVANJA VOZILA U VLASNIŠTVU GRADA ZAGREBA</t>
  </si>
  <si>
    <t>PRUŽANJE USLUGA PUTNIČKIH AGENCIJA ZA HOTELSKI SMJEŠTAJ U ZEMLJI I INOZEMSTVU I AVIO KARTE</t>
  </si>
  <si>
    <t>ANEKS UGOVORU O IMPLEMENTACIJI SUSTAVA OBNOVLJIVIH IZVORA ENERGIJE NA OBJEKTIMA GRADSKE UPRAVE (UGRADNJA SOLARNIH SUSTAVA ZA PTV U OBJEKTIMA DJEČJIH VRTIĆA), REG.BROJ 792/2011 OD 30.12.2011.</t>
  </si>
  <si>
    <t>ANEKS UGOVORU O IMPLEMENTACIJI SUSTAVA OIE NA ZGRADAMA GRADA ZAGREBA - DJEČJI VRTIĆI, II FAZA, REG.BROJ 458/2012 OD 19.10.2012.</t>
  </si>
  <si>
    <t>PRUŽANJE USLUGE LJETOVANJA DJECE HRVATSKIH BRANITELJA U  NOVOM VINODOLSKOM</t>
  </si>
  <si>
    <t>PRUŽANJE USLUGE LJETOVANJA OSOBA S INVALIDITETOM</t>
  </si>
  <si>
    <t>REKONSTRUKCIJA TRAMVAJSKE PRUGE I KONTAKTNE MREŽE U RADNIČKOJ CESTI OD ULICE KOLEDOVČINA DO ŽELJEZNIČKE PRUGE</t>
  </si>
  <si>
    <t>UREĐENJE DIJELA ROMSKOG NASELJA VRTNI PUT</t>
  </si>
  <si>
    <t>IZRADA GLAVNIH I IZVEDBENIH PROJEKATA ZA IZGRADNJU POLUKRUŽNE ULICE SA SPOJEM NA VUKOVARSKU ULICU TE REKONSTUKCIJE DIJELA BRSEČKE ULICE NA PODRUČJU NASELJA VUKOMEREC</t>
  </si>
  <si>
    <t>STRUČNI NADZOR NAD IZGRADNJOM I OPREMANJEM OBJEKTA DJEČJEG VRTIĆA KAJZERICA</t>
  </si>
  <si>
    <t>STRUČNI I GEODETSKI NADZOR NAD REKONSTRUKCIJOM DIJELA ULICA: BAKAČEVE, CESARČEVE, KURELČEVE ULICE I STARE VLAŠKE</t>
  </si>
  <si>
    <t>IZGRADNJA PAROVODA I PRODUKTOVODA U RADNIČKOJ CESTI OD ULICE KOLEDOVČINA DO ŽELJEZNIČKE PRUGE</t>
  </si>
  <si>
    <t>UČENIČKI DOM NOVI ZAGREB, II. FAZA SANACIJE OBJEKTA</t>
  </si>
  <si>
    <t>UREĐENJE KAUZLARIĆEVOG PRILAZA I IZGRADNJA PARKIRALIŠTA UZ DOM ZDRAVLJA DUGAVE</t>
  </si>
  <si>
    <t>IZVOĐENJE HITNIH MJERA SANACIJE KLIZIŠTA KVATERNIKOVA-DIVOSELSKA</t>
  </si>
  <si>
    <t>HITNE MJERE SANACIJE KLIZIŠTA U ALEJI GRADA BOLOGNE</t>
  </si>
  <si>
    <t>GRADNJA JAVNE RASVJETE SPORTSKIH TERENA I DJEČJEG IGRALIŠTA U ULICI POŽARINJE VIII.</t>
  </si>
  <si>
    <t>IZRADA POSEBNE GEODETSKE PODLOGE I TEHNIČKE DOKUMENTACIJE ZA LEGALIZACIJU SPORTSKIH ŽIČARA I AKUMULACIJSKIH JEZERA NA SLJEMENU</t>
  </si>
  <si>
    <t>TISKANJE OBRAZOVNIH, INFORMATIVNIH I PROMOTIVNIH MATERIJALA</t>
  </si>
  <si>
    <t>KONTROLNA ISPITIVANJA MATERIJALA I RADOVA- REKONSTRUKCIJA DIJELA ULICA: BAKAČEVE, CESARČEVE, KURELČEVE ULICE I STARE VLAŠKE</t>
  </si>
  <si>
    <t>REKONSTRUKCIJA KUHINJE DOMA UMIROVLJENIKA DUBRAVA</t>
  </si>
  <si>
    <t>ANEKS UGOVORU O UREĐENJU OBJEKTA GRADSKE UPRAVE NA LOKACIJI LJUDEVITA POSAVSKOG 48 REG. BROJ 106/2013 OD 26. VELJAČE 2013</t>
  </si>
  <si>
    <t>USLUGA GRAFIČKOG OBLIKOVANJA, LEKTURE, KOREKTURE I TISKA 4. IZDANJA VODIČA ZA STARIJE GRAĐANE GRADA ZAGREBA</t>
  </si>
  <si>
    <t>SANACIJA SANITARNIH ČVOROVA U MUZEJU ZA UMJETNOST I OBRT</t>
  </si>
  <si>
    <t>USLUGA OZAKONJENJA NEZAKONITO IZGRAĐENIH ZGRADA U VLASNIŠTVU ILI KORIŠTENJU GRADA ZAGREBA</t>
  </si>
  <si>
    <t>USLUGE PREVOĐENJA- 4. GRUPA: KONSEKUTIVNI PRIJEVOD</t>
  </si>
  <si>
    <t>USLUGE PREVOĐENJA  1. GRUPA:  PISANI PRIJEVOD (ENGLESKI, NJEMAČKI, TALIJANSKI I FRANCUSKI)</t>
  </si>
  <si>
    <t>STRUČNI NADZOR NAD UREĐENJEM AUTOBUSNIH UGIBALIŠTA I KOLNIKA S BETONSKOM KOLNIČKOM KONSTRUKCIJOM</t>
  </si>
  <si>
    <t>OBNOVA POSTOJEĆE TURISTIČKE I OSTALE SIGNALIZACIJE GRADA ZAGREBA</t>
  </si>
  <si>
    <t>ANEKS UGOVORU O SANACIJI ODVODNJE I KANALIZACIJE -II., VII., KLASIČNA GIMNAZIJA  I XVI. GIMNAZIJA, REG. BROJ 58/2013. OD 05.02.2013.</t>
  </si>
  <si>
    <t>OPSKRBA PLINOM</t>
  </si>
  <si>
    <t>SOBOSLIKARSKO LIČILAČKI RADOVI</t>
  </si>
  <si>
    <t>SANACIJA PROČELJA I KROVA- BASARIČEKOVA 11</t>
  </si>
  <si>
    <t>USLUGE TJELESNE ZAŠTITE IMOVINE STANOVA, POSLOVNIH PROSTORA I KOMPLEKSA</t>
  </si>
  <si>
    <t>INTERVENTNI POPRAVCI I ODRŽAVANJE LOKALNIH VODOVODA U GRADSKOJ ČETVRTI SESVETE</t>
  </si>
  <si>
    <t>IZRADA GLAVNIH I IZVEDBENIH PROJEKATA ZA IZGRADNJU SREDNJE ULICE I REKONSTRUKCIJE BRSEČKE ULICE NA PODRUČJU NASELJA VUKOMEREC</t>
  </si>
  <si>
    <t>IZMJENA DIJELA HIDRANTSKE MREŽE NA TAVANU I PRILAGODBA SUSTAVA VATRODOJAVE U STAROGRADSKOJ VIJEĆNICI</t>
  </si>
  <si>
    <t>GRADNJA JAVNE RASVJETE IGRALIŠTA OSNOVNE ŠKOLE RETKOVEC, ALEJA JAVORA BB</t>
  </si>
  <si>
    <t>ANEKS UGOVORU O SANACIJI PRIZEMNOG DIJELA PROČELJA - STROSSMAYEROV TRG 7, REG. BROJ 154/13 OD 29. OŽUJKA 2013</t>
  </si>
  <si>
    <t>ANEKS UGOVORU O SANACIJI KLIZIŠTA NA GROBLJU MIROGOJ, REG. BR. 105/13 OD 26. VELJAČE 2013.</t>
  </si>
  <si>
    <t>SANACIJA KROVIŠTA NA OBJEKTU MJESNE SAMOUPRAVE VOĆARSKA, VOĆARSKA CESTA 71</t>
  </si>
  <si>
    <t>IZRADA PROGRAMA ZAŠTITE ZRAKA, OZONSKOG SLOJA, UBLAŽAVANJA KLIMATSKIH PROMJENA I PRILAGODBE KLIMATSKIM PROMJENAMA</t>
  </si>
  <si>
    <t>IZVOĐENJE RADOVA NA DOPUNI SEMAFORIZIRANOG RASKRIŽJA CVJETNA CESTA - PRISAVLJE</t>
  </si>
  <si>
    <t>GODIŠNJI UGOVOR ZA NABAVU USLUGE PERIODIČNIH PREGLEDA I ISPITIVANJA 1. GRUPA- PERIODIČNI PREGLEDI I ISPITIVANJA ELEKTRIČNIH I GROMOBRANSKIH INSTALACIJA, STABILNIH SUSTAVA ZA DOJAVU I GAŠENJE POŽARA, STROJEVA I UREĐAJA S POVEĆANIM OPASNOSTIMA I FAKTORA RADNE OKOLINE</t>
  </si>
  <si>
    <t>IZRADA TEHNIČKE DOKUMENTACIJE ZA OSIGURANJE PRISTUPA OSOBAMA S INVALIDITETOM ZA POTHODNIK ALEJA GRADA BOLOGNE - PODSUSED</t>
  </si>
  <si>
    <t>GODIŠNJI UGOVOR ZA NABAVU USLUGE PERIODIČNIH PREGLEDA I ISPITIVANJA 2. GRUPA- ISPITIVANJE NEPROPUSNOSTI PLINSKIH INSTALACIJA U PLINSKIM KOTLOVNICAMA, TE ZA PLINSKA TROŠILA</t>
  </si>
  <si>
    <t>GODIŠNJI UGOVOR ZA NABAVU SOBOSLIKARSKO LIČILAČKIH RADOVA ZA POTREBE GRADSKIH UPRAVNIH TIJELA</t>
  </si>
  <si>
    <t>NABAVA OBVEZNIH UDŽBENIKA ZA UČENIKE OSNOVNIH ŠKOLA GRADA ZAGREBA - NAKLADNIK - GLAS KONCILA</t>
  </si>
  <si>
    <t>NABAVA OBVEZNIH UDŽBENIKA ZA UČENIKE OSNOVNIH ŠKOLA GRADA ZAGREBA - NAKLADNIK - KLETT VERLAG D.O.O.</t>
  </si>
  <si>
    <t>USLUGA LJETOVANJA DJECE SOCIJALNO UGROŽENIH OBITELJI:  1. GRUPA CRKVENICA, 2. GRUPA VELI LOŠINJ, 3. GRUPA DUGA UVALA, 4. GRUPA SKRADIN, 5 GRUPA SAVUDRIJA</t>
  </si>
  <si>
    <t>NABAVA OBVEZNIH UDŽBENIKA ZA UČENIKE OSNOVNIH ŠKOLA GRADA ZAGREBA - NAKLADNIK - NAKLADA LJEVAK D.O.O.</t>
  </si>
  <si>
    <t>NABAVA OBVEZNIH UDŽBENIKA ZA UČENIKE OSNOVNIH ŠKOLA GRADA ZAGREBA - NAKLADNIK - KRŠĆANSKA SADAŠNJOST D.O.O.</t>
  </si>
  <si>
    <t>NABAVA OBVEZNIH UDŽBENIKA ZA UČENIKE OSNOVNIH ŠKOLA GRADA ZAGREBA - NAKLADNIK - ALKA SCRIPT D.O.O.</t>
  </si>
  <si>
    <t>NABAVA OBVEZNIH UDŽBENIKA ZA UČENIKE OSNOVNIH ŠKOLA GRADA ZAGREBA - NAKLADNIK - ALFA D.D., ZA IZDAVAČKE, GRAFIČKE I TRGOVAČKE POSLOVE</t>
  </si>
  <si>
    <t>NABAVA OBVEZNIH UDŽBENIKA ZA UČENIKE OSNOVNIH ŠKOLA GRADA ZAGREBA – NAKLADNIK - ALGORITAM D.O.O.</t>
  </si>
  <si>
    <t>NABAVA OBVEZNIH UDŽBENIKA ZA UČENIKE OSNOVNIH ŠKOLA GRADA ZAGREBA - NAKLADNIK - SYSPRINT D.O.O.</t>
  </si>
  <si>
    <t>ANEKS UGOVORU O PRUŽANJU USLUGA GRAFIČKOG OBLIKOVANJA, LEKTURE, KOREKTURE I TISKA 4. IZDANJA VODIČA ZA STARIJE GRAĐANE GRADA ZAGREBA, REG. BROJ 320/2013. OD 22. SRPNJA 2013.</t>
  </si>
  <si>
    <t>PSIHIJATRIJSKA BOLNICA "SVETI IVAN" -OPREMANJE ODJELA III A</t>
  </si>
  <si>
    <t>GODIŠNJI UGOVOR ZA NABAVU USLUGA FIKSNE TELEFONIJE - DJEČJI VRTIĆI, OSNOVNE ŠKOLE, SREDNJE ŠKOLE</t>
  </si>
  <si>
    <t>NABAVA OBVEZNIH UDŽBENIKA ZA UČENIKE OSNOVNIH ŠKOLA GRADA ZAGREBA - NAKLADNIK - ŠKOLSKA KNJIGA D.D.</t>
  </si>
  <si>
    <t>PROBIJANJE OTVORA U ZIDU POSLOVNOG PROSTORA MJESNOG ODBORA "KRALJ ZVONIMIR", BOGIŠIĆEVA 2</t>
  </si>
  <si>
    <t>NABAVA OBVEZNIH UDŽBENIKA ZA UČENIKE OSNOVNIH ŠKOLA GRADA ZAGREBA - NAKLADNIK - PROFIL INTERNATIONAL D.O.O.</t>
  </si>
  <si>
    <t>ANEKS UGOVORU O IZRADI RUDARSKO - GEOLOŠKE STUDIJE GRADA ZAGREBA, REG. BROJ 61/2013 OD 6. VELJAČE 2013.</t>
  </si>
  <si>
    <t>ANEKS GODIŠNJEM UGOVORU ZA NABAVU USLUGA ODRŽAVANJA UREĐAJA U PROTUEKSPLOZIJSKOJ IZVEDBI U OBJEKTIMA GRADSKE UPRAVE, REG. BROJ 336/2013 OD 26. SRPNJA 2013</t>
  </si>
  <si>
    <t>OBNOVA TOPLINSKE STANICE OŠ MLADOST</t>
  </si>
  <si>
    <t>IZRADA TEHNIČKE DOKUMENTACIJE I ISHOĐENJE DOZVOLE ZA OŠ HRVATSKI LESKOVAC</t>
  </si>
  <si>
    <t>IZRADA TEHNIČKE DOKUMENTACIJE ZA REKONSTRUKCIJU OVOJNICA GRADSKIH OBJEKATA</t>
  </si>
  <si>
    <t>PRIGODNO UKRAŠAVANJE ZA BOŽIĆNO I NOVOGODIŠNJE UREĐENJE GRADA ZAGREBA 2013./2014.</t>
  </si>
  <si>
    <t>II. GODIŠNJI UGOVOR O NABAVI USLUGA TEKUĆEG ODRŽAVANJA PLINODOJAVNIH SUSTAVA U PLINSKIM KOTLOVNICAMA</t>
  </si>
  <si>
    <t>II. GODIŠNJI UGOVOR O NABAVI USLUGA TEKUĆEG ODRŽAVANJA VATRODOJAVNIH SUSTAVA PROIZVODNJE HONEYWELL</t>
  </si>
  <si>
    <t>GRADNJA JAVNE RASVJETE U ULICI SJEVERNJAK</t>
  </si>
  <si>
    <t>NABAVA VISOKOTLAČNIH NATRIJEVIH ŽARULJA ZA ODRŽAVANJE JAVNE RASVJETE</t>
  </si>
  <si>
    <t>IZRADA ENERGETSKIH CERTIFIKATA ZA ZGRADE U VLASNIŠTVU GRADA ZAGREBA</t>
  </si>
  <si>
    <t>SANACIJA KROVA I BALKONA VELIKE DVORANE CENTRA ZA KULTURU NOVI ZAGREB</t>
  </si>
  <si>
    <t>ZAMJENA DOTRAJALE OPREME U TOPLINSKOJ STANICI I ZAMJENA OPREME ZA TOPLOZRAČNO GRIJANJE DOVORANE TZK OSNOVNE ŠKOLE ZAPRUĐE</t>
  </si>
  <si>
    <t>IZRADA PROJEKTNO TEHNIČKE DOKUMENTACIJE ZA IZGRADNJU ULICE BOŽE I NIKOLE BIONDE, ULICE OZNAKE 4A I OZNAKE 4B I REKONSTRUKCIJU DIJELA MIŠEVEČKE ULICE U NASELJU BOROVJE</t>
  </si>
  <si>
    <t>SANACIJA KROVIŠTA DJEČJEG VRTIĆA VLADIMIR NAZOR, PODRUČNI ODJEL SUPILOVA</t>
  </si>
  <si>
    <t>ADAPTACIJA OBJEKTA DOMA OSOBA S MENTALNOM RETARDACIJOM PREČKO</t>
  </si>
  <si>
    <t>SANACIJA KOSOG KROVA OŠ MATE LOVRAKA</t>
  </si>
  <si>
    <t>NABAVA OSOBNIH ZAŠTITNIH SREDSTAVA GRUPA 1: ZAŠTITNA ODJEĆA</t>
  </si>
  <si>
    <t>IZGRADNJA OBJEKTA ŠKOLE KAJZERICA</t>
  </si>
  <si>
    <t>II. GODIŠNJI UGOVOR O NABAVI USLUGA TEKUĆEG ODRŽAVANJA SUSTAVA TEHNIČKE ZAŠTITE, VATRODOJAVNOG SUSTAVA PROIZVODNJE SCHRACK I VATRODOJAVNOG SUSTAVA KENTEC</t>
  </si>
  <si>
    <t>NABAVA SEIZMOGRAFA</t>
  </si>
  <si>
    <t>ZAMJENA DOTRAJALE OPREME U TOPLINSKOJ STANICI I RADIJATORSKE ARMATURE U PO V. RUŽDJAKA 22 -DJEČJI VRTIĆ SAVICA</t>
  </si>
  <si>
    <t>SANACIJA SANITARNIH ČVOROVA U OSNOVNOJ ŠKOLI "IVAN CANKAR", ULICA IVANA CANKARA 10</t>
  </si>
  <si>
    <t>GRADNJA JAVNE RASVJETE RASKRIŽJA SLAVONSKA AVENIJA - AVENIJA VEĆESLAVA HOLJEVCA</t>
  </si>
  <si>
    <t>II. GODIŠNJI UGOVOR O NABAVI USLUGA TEKUĆEG ODRŽAVANJA VATRODOJAVNOG SUSTAVA NOTIFIER</t>
  </si>
  <si>
    <t>PRODULJENJE VALJANOSTI KARTICA ZA SATELITSKI SUSTAV</t>
  </si>
  <si>
    <t>NABAVA NAMJEŠTAJA I OPREME ZA 4 ODGOJNE SKUPINE, DV GAJNICE, PO BLANJE</t>
  </si>
  <si>
    <t>IZVOĐENJE RADOVA NA IZVEDBI TEHNIČKE ZAŠTITE U OBJEKTIMA GRADSKE UPRAVE GRADA ZAGREBA: JAGIĆEVA 31, NOVA CESTA 1, KAPTOL 27 I PODRUČNI URED PEŠČENICA</t>
  </si>
  <si>
    <t>PRUŽANJE USLUGA OBRAZOVANJA - STRANI JEZICI (GRUPNI I INDIVIDUALNI)</t>
  </si>
  <si>
    <t>IZGRADNJA AUTOBUSNOG STAJALIŠTE U ULICI VRHOVEC</t>
  </si>
  <si>
    <t>IZGRADNJA AUTOBUSNOG STAJALIŠTA U ŽERJAVINCU</t>
  </si>
  <si>
    <t>II. GODIŠNJI UGOVOR O NABAVI USLUGA TEKUĆEG ODRŽAVANJA VATRODOJAVNOG SUSTAVA PROIZVODNJE MORLEY</t>
  </si>
  <si>
    <t>ZAŠTITNA ODIJELA ZA RAD U KONTAMINIRANOM PODRUČJU - RADIOLOŠKO, NUKLEARNO, BIOLOŠKU I  KEMIJSKU ZAŠTITU.</t>
  </si>
  <si>
    <t>GRADNJA JAVNE RASVJETE PARKIRALIŠTA IZA DOMA ZDRAVLJA - KAUZLARIĆEV PRILAZ</t>
  </si>
  <si>
    <t>OSOBNA ZAŠTITNA SREDSTVA GRUPA 2. ZAŠTITNA OBUĆA</t>
  </si>
  <si>
    <t>II. GODIŠNJI UGOVOR O ODRŽAVANJU  APLIKATIVNIH RJEŠENJA: MATICE ŠKOLA, PLAĆE VRTIĆA, SUSTAV ZA PODRŠKU PROGRAMIMA POTICANJA OBRTA, SOCIJALNE KARTICE, EVIDENCIJA IMOVINE U VLASNIŠTVU GRADA ZAGREBA, CENTRALIZIRANA NABAVA</t>
  </si>
  <si>
    <t>IZRADA PROJEKTNE DOKUMENTACIJE ZA IZGRADNJU POTPORNOG ZIDA UZ ULICU REMETE</t>
  </si>
  <si>
    <t>ZAMJENA KROVNOG POKROVA NA OBJEKTU MJESNE SAMOUPRAVE VURNOVEC, VURNOVEČKA ULICA 11</t>
  </si>
  <si>
    <t>IZGRADNJA NOVOG GROBNOG POLJA NA GROBLJU MIROŠEVEC</t>
  </si>
  <si>
    <t>IZRADA PROJEKTNE DOKUMENTACIJE ZA IZGRADNJU VODOOPSKRBNOG CJEVOVODA U GORDANINOJ ULICI I ULICI DON BOSCA I JAVNOG KANALA U MAJDAKOVOJ-ODVOJAK, ULICI FRANJE LUČIĆA I KUDEKOVOM PUTU</t>
  </si>
  <si>
    <t>MJERENJE I PRAĆENJE KVALITETE ZRAKA U GRADSKOJ MREŽI ZA 2013</t>
  </si>
  <si>
    <t>RADOVI NA IZGRADNJI ZAMJENSKIH TRAFOSTANICA I IZMJEŠTANJU I IZGRADNJI ELEKTROENRGETSKE MREŽE U SKLOPU REKONSTRUKCIJE 2.ETAPE RADNIČKE CESTE OD ULICE KOLEDOVČINA DO ŽELJEZNIČKE PRUGE</t>
  </si>
  <si>
    <t>GRADNJA JAVNE RASVJETE ZBOG POVEZIVANJA VEĆ IZGRAĐENIH DIJELOVA U CJELINU -  HITNE INTERVENCIJE: 1. GRUPA: GRADNJA JAVNE RASVJETE ZBOG POVEZIVANJA VEĆ IZGRAĐENIH DIJELOVA U CJELINU (JUŽNO OD ŽELJEZNIČKE PRUGE)-HITNE INTERVENCIJE; 2. GRUPA: GRADNJA JAVNE RASVJETE ZBOG POVEZIVANJA VEĆ IZGRAĐENIH DIJELOVA U CJELINU (SJEVERNO OD ŽELJEZNIČKE PRUGE)-HITNE INTERVENCIJE</t>
  </si>
  <si>
    <t>NABAVA MATERIJALA  TISKANOG  PO NARUDŽBI ZA POTREBE GRADSKE UPRAVE GRADA ZAGREBA</t>
  </si>
  <si>
    <t>OPREMANJE OBJEKTA DJEČJEG VRTIĆA RADOST</t>
  </si>
  <si>
    <t>IZMJEŠTANJE DIJELA KANALIZACIJSKOG KOLEKTORA 180/180 CM RADI IZGRADNJE DIJELA RADNIČKE CESTE U ZONI NADVOŽNJAKA ŽELJEZNIČKE PRUGE</t>
  </si>
  <si>
    <t>GRADNJA RAMPE ZA INVALIDE U ŠOLTANSKOJ ULICI, GRUŠKOJ ULICI 2-10, PLATO I 18-22, PLATO</t>
  </si>
  <si>
    <t>POKLON KOŠARA, PIĆE, SOKOVI, VODA, VOĆE</t>
  </si>
  <si>
    <t>PODOPOLAGAČKI RADOVI U OBJEKTIMA MJESNIH SAMOUPRAVA</t>
  </si>
  <si>
    <t>V. ETAPA IZGRADNJE OBJEKTA DOBROVOLJNOG VATROGASNOG DRUŠTVA I MJESNE SAMOUPRAVE VRAPČE -JUG</t>
  </si>
  <si>
    <t>II. GODIŠNJI UGOVOR O NABAVI USLUGA TEKUĆEG ODRŽAVANJA VATROGASNIH APARATA PROIZVODNJE PASTOR</t>
  </si>
  <si>
    <t>PRUŽANJE USLUGA OBNOVE I ODRŽAVANJA SPOMENIKA PARKOVNE ARHITEKTURE PARK MAKSIMIR - SJEVERNI DIO</t>
  </si>
  <si>
    <t>II. ANEKS UGOVORU O IZVOĐENJU DODATNIH RADOVA IZGRADNJE DJEČJEG VRTIĆA "BLANJE", BLANJE BB, REG. BROJ 127/2013 OD 07.03.2013.</t>
  </si>
  <si>
    <t>II. ANEKS UGOVORU O IZGRADNJI DJEČJEG VRTIĆA "BLANJE", BLANJE BB, REG. BROJ 351/2012 OD 30.08.2012.</t>
  </si>
  <si>
    <t>SANACIJA RAVNOG KROVA U PODRUČNOM UREDU PEŠČENICA</t>
  </si>
  <si>
    <t>NADOGRADNJA I ODRŽAVANJE APLIKATIVNOG RJEŠENJA ZA DERATIZACIJU I DEZINSEKCIJU</t>
  </si>
  <si>
    <t>PRIKLJUČENJE POSTOJEĆEG OBJEKTA NA PRIRODNI PLIN, DJEČJI VRTIĆ GAJNICE, PO BLANJE</t>
  </si>
  <si>
    <t>IZRADA TEHNIČKE DOKUMENTACIJE ZA OSIGURANJE PRISTUPA OSOBAMA S INVALIDITETOM ZA POTHODNIK ALEJA GRADA BOLOGNE - STENJEVEC</t>
  </si>
  <si>
    <t>ZAMJENA KROVNOG POKROVA NA OBJEKTU MJESNE SAMOUPRAVE TRNAVA, RESNIČKI PUT 1A</t>
  </si>
  <si>
    <t>II. ANEKS UGOVORU O ODRŽAVANJU POPLOČENJA PJEŠAČKO-KOLNIH PLOHA PJEŠAČKE ZONE UŽEG CENTRA GRADA ZAGREBA, REG. BR. 136/2012 OD 06.03.2012.</t>
  </si>
  <si>
    <t>IZMJENA STAKLENIH STIJENA I ULAZNIH VRATA TE POSTAVLJANJE STROPA U DVORANI U OBJEKTU MJESNE SAMOUPRAVE TRAVNO ULICA BOŽIDARA MAGOVCA 63</t>
  </si>
  <si>
    <t>II. ANEKS UGOVORU O STRUČNOM NADZORU NAD ODRŽAVANJEM POPLOČENJA PJEŠAČKO-KOLNIH PLOHA PJEŠAČKE ZONE UŽEG CENTRA GRADA ZAGREBA, REG. BROJ 671/11 OD 08.11.2011.</t>
  </si>
  <si>
    <t>ADAPTACIJA OBJEKTA KLINIČKE BOLNICE SVETI DUH</t>
  </si>
  <si>
    <t>IZMJENA DIJELA PROZORA I UREĐENJE ULAZA U OŠ ŠESTINE, PODREBERNICA 13</t>
  </si>
  <si>
    <t>IZGRADNJA TELEKOMUNIKACIJSKIH INSTALACIJA U RADNIČKOJ CESTI OD ULICE KOLEDOVČINA DO ŽELJEZNIČKE PRUGE</t>
  </si>
  <si>
    <t>STRUČNI NADZOR NAD IZGRADNJOM OBJEKTA ŠKOLE KAJZERICA</t>
  </si>
  <si>
    <t>IZRADA TEHNIČKE DOKUMENTACIJE ZA MJERE ENERGETSKE OBNOVE OBJEKATA U OKVIRU PROJEKTA ZAGEE -1. FAZA</t>
  </si>
  <si>
    <t>OPREMANJE OBJEKTA OSNOVNE ŠKOLE SVETA KLARA</t>
  </si>
  <si>
    <t>SANACIJA ULIČNOG  PROČELJA I DIJELA KROVA - BOŠKOVIĆEVA 23</t>
  </si>
  <si>
    <t>IZGRADNJA NOGOSTUPA NA VRAPČANSKOJ ULICI OD KBR.158. DO 164.</t>
  </si>
  <si>
    <t>IZGRADNJA CENTRALNOG GRIJANJA, PLINSKE INSTALACIJE I PRIKLJUČKA U OBJEKTU MJESNE SAMOUPRAVE NOVI RETKOVEC, ALEJA JAVORA 23</t>
  </si>
  <si>
    <t>USLUGA HITNE MEDICINSKE POMOĆI</t>
  </si>
  <si>
    <t>IZRADA PROGRAMA ZAŠTITE OKOLIŠA GRADA ZAGREBA</t>
  </si>
  <si>
    <t>IZOVĐENJE RADOVA NA ODRŽAVANJU SPOMENIKA NA PODRUČJU GRADA ZAGREBA, GRUPA A- ODRŽAVANJE SPOMENIKA U GRADSKIM ČETVRTIMA: SESVETE, GORNJA I DONJA DUBRAVA, MAKSIMIR, PEŠČENICA- ŽITNJAK, NOVI ZAGREB- ISTOK, GORNJI GRAD- MEDVEŠČAK I DONJI GRAD</t>
  </si>
  <si>
    <t>ZAMJENA I SANACIJA PROZORA ŠKOLE ZA MEDICINSKE SESTRE MLINARSKA</t>
  </si>
  <si>
    <t>IZRADA TEHNIČKE DOKUMENTACIJE I ISHOĐENJE DOZVOLA, V. GIMNAZIJA</t>
  </si>
  <si>
    <t>POSTAVLJANJE VIDEONADZORA NA OBJEKTE MJESNE SAMOUPRAVE: BUKOVAC, DOBRI DOL, DOTRŠČINA, EUGEN KVATERNIK, MAKSIMIR I RUŽMARINKA</t>
  </si>
  <si>
    <t>PRUŽANJE USLUGE HORTIKULTURNOG UREĐENJA NEIZGRAĐENOG GRAĐEVINSKOG ZEMLJIŠTA</t>
  </si>
  <si>
    <t>DODATNA NABAVA RAČUNALA, PISAČA  I NADOGRADNJA MREŽNE OPREME, TE DODATNE OPREME</t>
  </si>
  <si>
    <t>PROŠIRENJE TELEFONSKE CENTRALE GRADA ZAGREBA</t>
  </si>
  <si>
    <t>UREĐIVANJE ČITAONICE I SPORTSKE DVORANE SA SVLAČIONICAMA U XVI. GIMNAZIJI, KRIŽANIĆEVA 4A</t>
  </si>
  <si>
    <t>NABAVA NAMJEŠTAJA I OPREME ZA 4 ODGOJNE SKUPINE PO VUGROVEC, DV SESVETE</t>
  </si>
  <si>
    <t>IZGRADNJA ODVOJKA STENJEVEČKE ULICE OD ULICE KOTARNICA DO SJEVERNOG KOLNIKA PRODUŽENE ULICE ANTUNA ŠOLJANA - I. ETAPA</t>
  </si>
  <si>
    <t>ZAMJENA INSTALACIJE GRIJANJA DV MATIJE GUPCA</t>
  </si>
  <si>
    <t>2. GODIŠNJI UGOVOR O ODRŽAVANJU I NADOGRADNJI SUSTAVA ZA POSLOVANJE "CENTRIX" I ODRŽAVANJU ILOCK SUSTAVA</t>
  </si>
  <si>
    <t>SVEČANA ODJEĆA ZA MATIČARE ZA VJENČANJA</t>
  </si>
  <si>
    <t>USLUGA PROJEKTIRANJA I IZRADE TROŠKOVNIKA ZA RADOVE GRAĐENJA, REKONSTRUKCIJE I ODRŽAVANJA OBJEKATA MJESNIH SAMOUPRAVA I DRUGIH JAVNIH OBJEKATA</t>
  </si>
  <si>
    <t>SANACIJA KROVIŠTA DJEČJEG VRTIĆA SUNCE, PODRUČNI ODJEL PROMINSKA</t>
  </si>
  <si>
    <t>POSTAVLJANJE KLIMA UREĐAJA U PROSTORE MJESNIH SAMOUPRAVA: DUGAVE, SLOBOŠTINA, SOPOT,TRAVNO, UTRINE I VELIKO POLJE</t>
  </si>
  <si>
    <t>IZVOĐENJE RADOVA NA ODRŽAVANJU SPOMENIKA NA PODRUČJU GRADA ZAGREBA, GRUPA B- ODRŽAVANJE SPOMENIKA U GRADSKIM ČETVRTIMA: NOVI ZAGREB-ZAPAD, TRNJE, TREŠNJEVKA SJEVER I JUG, ČRNOMEREC, STENJEVEC, PODSUSED VRAPČE, PODSLJEME I BREZOVICA</t>
  </si>
  <si>
    <t>IZGRADNJA NADSTREŠNICE-ZIMSKI VRT-KVATERNIKOV TRG</t>
  </si>
  <si>
    <t>GRAĐEVINSKI RADOVI NA REKONSTRUKCIJI DIJELA ULICA: BAKAČEVE, CESARČEVE, KURELČEVE ULICE I  STARE VLAŠKE</t>
  </si>
  <si>
    <t>IZGRADNJA ODVOJKA POPOVEČKE ULICE</t>
  </si>
  <si>
    <t>SANACIJA KOSOG KROVA I DIJELA ELEKTROINSTALACIJA, GIMNAZIJE TITUŠA BREZOVAČKOG</t>
  </si>
  <si>
    <t>IZGRADNJA NOGOSTUPA I PROPUSTA PREKO POTOKA MELINEC U DOBRODOLSKOJ ULICI</t>
  </si>
  <si>
    <t>IZRADA PROJEKTA SANACIJE KLIZIŠTA U ULICI LEA MUELLERA</t>
  </si>
  <si>
    <t>IZVOĐENJE RADOVA NA DOPUNI SEMAFORSKE INSTALACIJE I INSTALIRANJE INOVIRANIH SIGNALNIH SEMAFORSKIH PROGRAMA NA MAKSIMIRSKOJ CESTI</t>
  </si>
  <si>
    <t>ZAMJENA KROVNOG POKROVA NA OBJEKTU MJESNE SAMOUPRAVE SESVETSKA SELA, GLAVNA ULICA 74</t>
  </si>
  <si>
    <t>DODATNE USLUGE ODRŽAVANJA I NADOGRADNJE SUSTAVA ZA PRAĆENJE AKTIVNOSTI</t>
  </si>
  <si>
    <t>NABAVA PREHRAMBENIH ARTIKALA ZA POTREBE DJEČJIH VRTIĆA GRADA ZAGREBA (NABAVA I ISPORUKA SVJEŽEG MESA), GRUPA 1.: ZONA 1- ČRNOMEREC, PODSUSED-VRAPČE, STENJEVEC</t>
  </si>
  <si>
    <t>NABAVA PREHRAMBENIH ARTIKALA ZA POTREBE DJEČJIH VRTIĆA GRADA ZAGREBA (NABAVA I ISPORUKA SVJEŽEG MESA), GRUPA 2.: ZONA 2- DONJI GRAD, GORNJI GRAD, MEDVEŠČAK, MAKSIMIR</t>
  </si>
  <si>
    <t>NABAVA PREHRAMBENIH ARTIKALA ZA POTREBE DJEČJIH VRTIĆA GRADA ZAGREBA (NABAVA I ISPORUKA SVJEŽEG MESA), GRUPA 6.: ZONA 6- TREŠNJEVKA SJEVER, TREŠNJEVKA JUG</t>
  </si>
  <si>
    <t>NABAVA PREHRAMBENIH ARTIKALA ZA POTREBE DJEČJIH VRTIĆA GRADA ZAGREBA (NABAVA I ISPORUKA SVJEŽEG MESA), GRUPA 3.: ZONA 3- GORNJA DUBRAVA, GRUPA 7.: ZONA 7- NOVI ZAGREB- ISTOK, NOVI ZAGREB- ZAPAD, BREZOVICA</t>
  </si>
  <si>
    <t>NABAVA PREHRAMBENIH ARTIKALA ZA POTREBE DJEČJIH VRTIĆA GRADA ZAGREBA (NABAVA I ISPORUKA SVJEŽEG MESA), GRUPA 4.: ZONA 4- SESVETE, DONJA DUBRAVA, GRUPA 5.: ZONA 5- TRNJE, PEŠČENICA- ŽITNJAK</t>
  </si>
  <si>
    <t>IZGRADNJA LINKOVA ZA SUSTAV PARKING VIDEO NADZOR</t>
  </si>
  <si>
    <t>DV BOTINEC, SANACIJA KUHINJE</t>
  </si>
  <si>
    <t>OPREMANJE SKLADIŠNO-UREDSKE GRAĐEVINE PSIHIJATRIJSKE BOLNICE "SVETI IVAN"</t>
  </si>
  <si>
    <t>IZRADA PROJEKTNE DOKUMENTACIJE ZA GRADNJU VODOOPSKRBNIH CJEVOVODA U LUČKOM U ULICAMA: UNČANSKA, BUGAROVA (ODVOJAK), HOJNIKOVA I HRVATSKOSELSKA (IVIČEKI), ROŽMANKA, DOLENICA I LUČKO</t>
  </si>
  <si>
    <t>IZRADA PROJEKTNE DOKUMENTACIJE ZA GRADNJU VODOOPSKRBNIH CJEVOVODA U SAVSKOM GAJU, HERMANOVA ULICA, U SVETOJ KLARI U ULICAMA BURIĆEVA, LUKORANSKA I FRANJE MALNARA I. ODVOJAK I IZRADA PROJEKTNE DOKUMENTACIJE ZA IZGRADNJU JAVNOG KANALA U SVETOJ KLARI U BURIĆEVOJ I LUKORANSKOJ ULICI</t>
  </si>
  <si>
    <t>UREĐENJE INSTALACIJE RASVJETE I JAKE STRUJE OSNOVNE ŠKOLE LJUBLJANICA</t>
  </si>
  <si>
    <t xml:space="preserve">PREGLED POŠTANSKIH POŠILJAKA OD EKSPLOZIVNIH MATERIJALA  </t>
  </si>
  <si>
    <t>II. ANEKS UGOVORU O IZRADI PROJEKTNE DOKUMENTACIJE (GLAVNI I IZVEDBENI PROJEKT) TE ISHOĐENJU GRAĐEVINSKE DOZVOLE - GRADSKO DRAMSKO KAZALIŠTE GAVELLA, REG. BROJ 133/13 OD 8. OŽUJKA 2013.</t>
  </si>
  <si>
    <t>NABAVA PREHRAMBENIHI PROIZVODA I PIĆA ZA ČAJNE KUHINJE</t>
  </si>
  <si>
    <t>USLUGA ODRŽAVANJA UREĐAJA I POSTROJENJA U OBJEKTIMA GRADSKE UPRAVE: 3. GRUPA - ODRŽAVANJE UPS-A (NEPREKIDNO NAPAJANJE)</t>
  </si>
  <si>
    <t>UREĐENJE AUTOBUSNIH UGIBALIŠTA I KOLNIKA SA BETONSKOM KOLNIČKOM KONSTRUKCIJOM</t>
  </si>
  <si>
    <t>PROJEKT ISTRAŽNIH RADOVA I SANACIJE NADVOŽNJAKA SAVEZNE REPUBLIKE NJEMAČKE KOD RANŽIRNOG KOLODVORA</t>
  </si>
  <si>
    <t>II. GODIŠNJI UGOVOR O NABAVI STANDARDNIH INFORMATIČKIH PROGRAMSKIH ALATA</t>
  </si>
  <si>
    <t>NABAVA USLUGE ODRŽAVANJA UREĐAJA I POSTROJENJA U OBJEKTIMA GRADSKE UPRAVE: 2. GRUPA-ODRŽAVANJE DIZALA</t>
  </si>
  <si>
    <t>PROVOĐENJE PREVENTIVNE I OBVEZNE PREVENTIVNE DERATIZACIJE NA PODRUČJU GRADA ZAGREBA -5. GRUPA - V. ZONA (15. PEŠĆENICA - ŽITNJAK, 16. DONJA DUBRAVA I 17. SESVETE)</t>
  </si>
  <si>
    <t>SANACIJA STEPENICA NA KREMATORIJU</t>
  </si>
  <si>
    <t>PROVOĐENJE PREVENTIVNE I OBVEZNE PREVENTIVNE DERATIZACIJE NA PODRUČJU GRADA ZAGREBA - 3. GRUPA - III. ZONA (8. PODSUSED - VRAPČE, 9. STENJEVEC I 10. TREŠNJEVKA - JUG)</t>
  </si>
  <si>
    <t>PROVOĐENJE PREVENTIVNE I OBVEZNE PREVENTIVNE DERATIZACIJE NA PODRUČJU GRADA ZAGREBA 4. GRUPA - IV. ZONA (11. DONJI GRAD, 12. MAKSIMIR, 13. TRNJE I 14. GORNJA DUBRAVA)</t>
  </si>
  <si>
    <t>PROVOĐENJE PREVENTIVNE I OBVEZNE PREVENTIVNE DERATIZACIJE NA PODRUČJU GRADA ZAGREBA - 1. GRUPA - I. ZONA (1. NOVI ZAGREB - ZAPAD, 2. NOVI ZAGREB - ISTOK I 3. BREZOVICA)</t>
  </si>
  <si>
    <t>PROVOĐENJE PREVENTIVNE I OBVEZNE PREVENTIVNE DERATIZACIJE NA PODRUČJU GRADA ZAGREBA - 2. GRUPA - II. ZONA (4. ČRNOMEREC, 5. DONJI GRAD - MEDVEŠĆAK, 6. PODSLJEME I 7. TREŠNJEVKA - SJEVER)</t>
  </si>
  <si>
    <t>II. GODIŠNJI UGOVOR O NABAVI PREHRAMBENIH ARTIKALA ZA POTREBE DJEČJIH VRTIĆA GRADA ZAGREBA ( NABAVA I ISPORUKA KRUHA I KRUŠNIH PROIZVODA) ZA 4. GRUPU ZONA IV. - PEŠČENICA - ŽITNJAK, NOVI ZAGREB ISTOK, NOVI ZAGREB ZAPAD, BREZOVICA</t>
  </si>
  <si>
    <t>II. GODIŠNJI UGOVOR O NABAVI PREHRAMBENIH ARTIKALA ZA POTREBE DJEČJIH VRTIĆA GRADA ZAGREBA ( NABAVA I ISPORUKA KRUHA I KRUŠNIH PROIZVODA) ZA 2. GRUPU ZONA II. - SESVETE, GORNJA DUBRAVA, DONJA DUBRAVA, PODSLJEME</t>
  </si>
  <si>
    <t>II. GODIŠNJI UGOVOR O NABAVI PREHRAMBENIH ARTIKALA ZA POTREBE DJEČJIH VRTIĆA GRADA ZAGREBA ( NABAVA I ISPORUKA KRUHA I KRUŠNIH PROIZVODA) ZA 3. GRUPU ZONA III. - TRNJE, TREŠNJEVKA SJEVER, TREŠNJEVKA JUG, STENJEVEC</t>
  </si>
  <si>
    <t>II. GODIŠNJI UGOVOR O NABAVI PREHRAMBENIH ARTIKALA ZA POTREBE DJEČJIH VRTIĆA GRADA ZAGREBA ( NABAVA I ISPORUKA KRUHA I KRUŠNIH PROIZVODA) ZA 1. GRUPU ZONA I. - MAKSIMIR, GORNJI GRAD - MEDVEŠČAK, DONJI GRAD, ČROMEREC, PODUSED - VRAPČE</t>
  </si>
  <si>
    <t>NAJAM VOZILA ZA POTREBE RJEŠAVANJA ZAHTJEVA GRAĐANA ZA LEGALIZACIJOM OBJEKATA NA PODRUČJU GRADA ZAGREBA</t>
  </si>
  <si>
    <t>SANACIJA ULIČNOG PROČELJA I KROVA ULIČNE ZGRADE - JURIŠIĆEVA 3</t>
  </si>
  <si>
    <t>NOVELACIJE PROJEKATA ZA POTREBE RJEŠAVANJA IMOVINSKO PRAVNIH POSLOVA ZA BIVŠE JAVNE CESTE</t>
  </si>
  <si>
    <t>ANEKS UGOVORA O PRUŽANJU USLUGA MEDICINSKE REHABILITACIJE HRVATSKIH RATNIH VOJNIH INVALIDA ( HRVI-A) DOMOVINSKOG RATA ZA 3. GRUPU: SKUPINA III ZA 80 HRVI-A (OBOLJENJA I OZLJEDE NERVNOG , MIŠIĆNOG I LOKOMOTORNOG SUSTAVA)</t>
  </si>
  <si>
    <t>ANEKS UGOVORU O OBNOVI PROČELJA - ZVONIMIRA 6 REG. BROJ 611/2012 OD 12. PROSINCA 2012.</t>
  </si>
  <si>
    <t>IZRADA TEHNIČKE DOKUMENTACIJE ZA POSTAVU SOLARNIH KOLEKTORA ZA PTV</t>
  </si>
  <si>
    <t>IZMJENA PROZORA, UREĐENJE TERASE I ULAZA U DJEČJI VRTIĆ RAZLIČAK, PODREBERNICA 15</t>
  </si>
  <si>
    <t>ANEKS UGOVORU O NABAVI I UGRADNJI PLOČICA ZA OZNAČAVANJE ZGRADA BROJEVIMA, REG. BROJ 255/2013 OD 4. LIPNJA 2013.</t>
  </si>
  <si>
    <t>ANEKS UGOVORU O SANACIJI CESTA I KANALIZACIJE NA GROBLJU MIROGOJ, REG. BROJ 271/12 OD 20.06.2013.</t>
  </si>
  <si>
    <t>ANEKS UGOVORU O NABAVI NAMJEŠTAJA I OPREME ZA 4 ODGOJNE SKUPINE PO VUGROVEC, DV SESVETE, REG. BROJ 443/2013. OD 20.RUJNA 2013.</t>
  </si>
  <si>
    <t>POSTAVLJANJE UMJETNE TRAVE NA DIO GLAVNOG TERENA NOGOMETNOG IGRALIŠTA NOGOMETNOG KLUBA KUSTOŠIJA, SOKOLSKA ULICA 47</t>
  </si>
  <si>
    <t>RADOVI NA SANACIJI KLIZIŠTA NA PODRUČJU GRADA ZAGREBA</t>
  </si>
  <si>
    <t>NABAVA CVIJEĆA I CVJETNIH ARANŽMANA (NPR. ADVENTSKI VJENČIĆ, VIJENAC, REZANO CVIJEĆE, CVIJEĆE U TEGLI, UKRASNE TEGLE ZA CVIJEĆE)</t>
  </si>
  <si>
    <t>REKONSTRUKCIJA DIJELA STROJARSKE CESTE OD ODVOJKA OZNAKE C3 DO NOVE PROMETNICE OZNAKE C2 I IZGRADNJA ODVOJKA S KOMUNALNOM INFRASTRUKTUROM</t>
  </si>
  <si>
    <t>ZAMJENA POKROVA I NATKRIVANJE TERASE LOVAČKOG DOMA PRIGORJE, TOTI BB</t>
  </si>
  <si>
    <t>SANACIJA KROVA OSNOVNE ŠKOLE VEĆESLAVA HOLJEVCA</t>
  </si>
  <si>
    <t>SANACIJA KROVIŠTA DJEČJEG VRTIĆA GAJNICE, PODRUČNI ODJEL PERUANSKA</t>
  </si>
  <si>
    <t>KONZULTANTSKE USLUGE IZ PODRUČJA UPRAVLJANJA POSLOVNIM PROCESIMA</t>
  </si>
  <si>
    <t>RAZVOJ SUSTAVA UPRAVLJANJA I ISPORUKA APLIKACIJA ZA SIGURNU RAZMJENU ELEKTRONIČKIH DOKUMENATA, BAZIRANA NA EU EIF 2.0 OKVIRU INTEROPERABILNOSTI</t>
  </si>
  <si>
    <t>IZGRADNJA PARKIRALIŠTA NA KRIŽANJU KALJSKE ULICE I ULICE MILANA REŠETARA</t>
  </si>
  <si>
    <t>UGRADNJA SOLARNIH KOLEKTORA ZA PTV NA GRADSKIM OBJEKTIMA</t>
  </si>
  <si>
    <t>UGRADNJA SOLARNIH KOLEKTORA ZA PTV NA GRADSKIM OBJEKTIMA -  II FAZA</t>
  </si>
  <si>
    <t>IZGRADNJA AUTOBUSNOG UGIBALIŠTA KOD OBJEKTA MJESNE SAMUPRAVE U VURNOVCU, VURNOVEČKA ULICA</t>
  </si>
  <si>
    <t>GRADNJA OBJEKTA MJESNE SAMOUPRAVE KUPINEČKI KRALJEVEC, MRAKOV BREG BB</t>
  </si>
  <si>
    <t>RASKID UGOVORA O PRODULJENJU VALJANOSTI KARTICA ZA SATELITSKI SUSTAV</t>
  </si>
  <si>
    <t>ANEKS UGOVORU O USKLAĐENJU GLAVNIH I IZVEDBENIH PROJEKATA S NOVOM REGULATIVOM GARAŽE ISPOD SREDNJOŠKOLSKOG IGRALIŠTA "SAVSKA - KLAIĆEVA - KAČIĆEVA - KRŠNJAVOG" I PJEŠAČKOG POTHODNIKA ISPOD KLAIĆEVE ULICE</t>
  </si>
  <si>
    <t>III. ANEKS UGOVORU ODRŽAVANJU POPLOČENJA PJEŠAČKO KOLNIH PLOHA  PJEŠAČKE ZONE UŽEG CENTRA GRADA ZAGREBA</t>
  </si>
  <si>
    <t>KAMENARSKI RADOVI NA REKONSTRUKIJI DIJELA ULICA: BAKAČEVE, CESARČEVE, KURELČEVE ULICE I STARE VLAŠKE</t>
  </si>
  <si>
    <t>ANEKS UGOVORU O PRUŽANJU USLUGA IZRADE TROŠKOVNIKA ZA ODRŽAVANJE ODNOSNO UREĐENJE STANOVA I POSLOVNIH PROSTORA U IMOVINI GRADA ZAGREBA, REG. BROJ 483/2012 OD 06.11.2012.</t>
  </si>
  <si>
    <t>NABAVA TELEKOMUNIKACIJSKIH USLUGA U MOBILNOJ TELEFONIJI</t>
  </si>
  <si>
    <t>IZMJENA PROZORA NA ZVONIKU CRKVE SV. MIHAELA, ISCE 33</t>
  </si>
  <si>
    <t>OPREMANJE KUHINJE DJEČJEG VRTIĆA RADOST</t>
  </si>
  <si>
    <t>PROJEKT IZVANREDNOG ODRŽAVANJA ULICE KAMENITI STOL</t>
  </si>
  <si>
    <t>DODATNI RADOVI NA IZGRADNJI ULICE ANTUNA ŠOLJANA OD ULICE MEDPOTOKI DO ULICE JANKOMIR</t>
  </si>
  <si>
    <t>DODATNI RADOVI NA IZGRADNJI ULICE ANTUNA ŠOLJANA OD ULICE HRVATSKIH BRANITELJA DO ULICE MEDPOTOKI</t>
  </si>
  <si>
    <t>GODIŠNJI UGOVOR O NABAVI USLUGE ODRŽAVANJA UREĐAJA I POSTROJENJA U OBJEKTIMA GRADSKE UPRAVE: 2. GRUPA-ODRŽAVANJE DIZALA</t>
  </si>
  <si>
    <t>NABAVA USLUGE ODRŽAVANJA UREĐAJA I POSTROJENJA U OBJEKTIMA GRADSKE UPRAVE: 1. GRUPA - ODRŽAVANJE AGREGATA</t>
  </si>
  <si>
    <t>GODIŠNJI UGOVOR ZA NABAVU PREHRAMBENIH ARTIKALA ZA POTREBE DJEČJIH VRTIĆA GRADA ZAGREBA (NABAVA I ISPORUKA SVJEŽEG MESA), GRUPA 3.: ZONA 3- GORNJA DUBRAVA, GRUPA 7.: ZONA 7- NOVI ZAGREB- ISTOK, NOVI ZAGREB- ZAPAD, BREZOVICA</t>
  </si>
  <si>
    <t>GODIŠNJI UGOVOR ZA NABAVU PREHRAMBENIH ARTIKALA ZA POTREBE DJEČJIH VRTIĆA GRADA ZAGREBA (NABAVA I ISPORUKA SVJEŽEG MESA), GRUPA 4.: ZONA 4- SESVETE, DONJA DUBRAVA, GRUPA 5.: ZONA 5- TRNJE, PEŠČENICA- ŽITNJAK</t>
  </si>
  <si>
    <t>GODIŠNJI UGOVOR ZA NABAVU PREHRAMBENIH ARTIKALA ZA POTREBE DJEČJIH VRTIĆA GRADA ZAGREBA (NABAVA I ISPORUKA SVJEŽEG MESA), GRUPA 1.: ZONA 1- ČRNOMEREC, PODSUSED-VRAPČE, STENJEVEC</t>
  </si>
  <si>
    <t>GODIŠNJI UGOVOR ZA NABAVU PREHRAMBENIH ARTIKALA ZA POTREBE DJEČJIH VRTIĆA GRADA ZAGREBA (NABAVA I ISPORUKA SVJEŽEG MESA), GRUPA 6.: ZONA 6- TREŠNJEVKA SJEVER, TREŠNJEVKA JUG</t>
  </si>
  <si>
    <t>GODIŠNJI UGOVOR ZA NABAVU PREHRAMBENIH ARTIKALA ZA POTREBE DJEČJIH VRTIĆA GRADA ZAGREBA (NABAVA I ISPORUKA SVJEŽEG MESA), GRUPA 2.: ZONA 2- DONJI GRAD, GORNJI GRAD, MEDVEŠČAK, MAKSIMIR</t>
  </si>
  <si>
    <t>NOVELACIJE PROJEKATA ZA POTREBE RJEŠAVANJA IMOVINSKO PRAVNIH POSLOVA ZA BIVŠE NERAZVRSTANE CESTE</t>
  </si>
  <si>
    <t>IZRADA PROJEKTNE DOKUMENTACIJE ZA IZVEDBU KRIŽANJA ULICE FERDINANDA BUDICKOG, TRPANJSKE ULICE I ULICE HRVATSKOG SOKOLA</t>
  </si>
  <si>
    <t>PREMJEŠTANJE I ZAŠTITA PLINSKIH INSTALACIJA ZA POTREBE IZGRADNJE CESTA I CESTOVNIH OBJEKATA NA PODRUČJU GRADA ZAGREBA</t>
  </si>
  <si>
    <t>NABAVA I POSTAVA ROLETA U OBJEKTIMA GRADSKE UPRAVE</t>
  </si>
  <si>
    <t>III. ANEKS UGOVORU O STRUČNOM NADZORU NAD ODRŽAVANJEM POPLOČENJA PJEŠAČKO-KOLNIH PLOHA PJEŠAČKE ZONE UŽEG CENTRA GRADA ZAGREBA</t>
  </si>
  <si>
    <t>IZRADA PROJEKTA IZVANREDNOG ODRŽAVANJA RADIĆEVOG ŠETALIŠTA</t>
  </si>
  <si>
    <t>IZRADA PROJEKTA "DRUŠTVENO-EKONOMSKE I PROIZVODNE PRETPOSTAVKE ZA INTEGRIRANU I EKOLOŠKU POLJOPRIVREDNU PROIZVODNJU NA VODOZAŠTITNOM PODRUČJU GRADA ZAGREBA-OGRANIČENJA I MOGUĆNOSTI"</t>
  </si>
  <si>
    <t>ANEKS UGOVORU O SANACIJI KOSOG KROVA OŠ MATE LOVRAKA</t>
  </si>
  <si>
    <t>ANEKS UGOVORU O SANACIJI PROČELJA KANONIČKOG DVORA - KAPTOL 23</t>
  </si>
  <si>
    <t>ANEKS UGOVORU O OBNOVI ULIČNOG PROČELJA I KROVA OBJEKTA, TE OBNOVI PROZORA I VRATA NA DVORIŠNOM DIJELU STUBIŠTA OBJEKTA -PALMOTIĆEVA 55</t>
  </si>
  <si>
    <t>DODATNI RADOVI GRADNJE DJEČJEG VRTIĆA I POTPORNOG ZIDA U VUGROVCU DONJEM, ULICA A. ŠENOE 28, KOD OŠ VUGROVEC - KAŠINA</t>
  </si>
  <si>
    <t>NABAVA KUHINJSKE OPREME  OŠ IVANA MEŠTROVIĆA</t>
  </si>
  <si>
    <t>IZRADA PROJEKTNE DOKUMENTACIJE ZA UREĐIVANJE NOGOSTUPA I OBORINSKE ODVODNJE: TRAKOŠĆANSKA ULICA OD KAŠINSKE CESTE U SESVETAMA, VURNOVEČKA ULICA NASTAVAK JUG-VURNOVEC I IZRADA PROJEKTNE DOKUMENTACIJE ZA IZGRADNJU AUTOBUSNOG PERONA U MORAVČU, PRIGORSKA ULICA KOD BASTALIĆEVE ULICE II</t>
  </si>
  <si>
    <t>USLUGE OSIGURANJA PROVOĐENJA OVRHE ZA ISELJENJE IZ STANOVA I POSLOVNIH PROSTORA U VLASNIŠTVU I NA UPRAVLJANJU GRADA ZAGREBA</t>
  </si>
  <si>
    <t>NABAVA PRIGODNIH POKLON PAKETA ZA DJECU SOCIJALNO UGROŽENIH OBITELJI  ZA SVETOG NIKOLU</t>
  </si>
  <si>
    <t>NABAVA PRIGODNIH POKLON PAKETA ZA KORISNIKE DOMOVA ZA STARIJE I NEMOĆNE OSOBE  POVODOM BLAGDANA BOŽIĆA</t>
  </si>
  <si>
    <t>OŠ SILVIJA STAHIMIRA KRANJČEVIĆA, SANACIJA SANITARNIH BLOKOVA</t>
  </si>
  <si>
    <t>IZRADA PROJEKTNE DOKUMENTACIJE ZA GRADNJU ŠPORTSKO-REKREACIJSKOG CENTRA "30 SVIBNJA 1990" - ŠPORTSKO I DJEČJE IGRALIŠTE U SOPNIČKOJ ULICI</t>
  </si>
  <si>
    <t>OŠ ANTUNA BRANKA ŠIMIĆA, SANACIJA KROVA</t>
  </si>
  <si>
    <t>GRAĐEVINSKI RADOVI NA IZGRADNJI ELEKTROENERGETSKE MREŽE U RADNIČKOJ CESTA OD ULICE GRADA VUKOVARA DO HEINZELOVE ULICE</t>
  </si>
  <si>
    <t>RADOVI RUŠENJA NA PODRUČJU GRADA ZAGREBA</t>
  </si>
  <si>
    <t>ANEKS UGOVORU - PRUŽANJE UNIVERZALNIH POŠTANSKIH USLUGA, REG. BR. 538/12 OD 30. STUDENOG 2012.</t>
  </si>
  <si>
    <t>ANEKS UGOVORU O REKONSTRUKCIJI CESARČEVE I KURELČEVE ULICE</t>
  </si>
  <si>
    <t>ANEKS UGOVORU O OPREMANJU ODJELA III A-PSIHIJATRIJSKA BOLNICA "SVETI IVAN"</t>
  </si>
  <si>
    <t>ANEKS UGOVORU O IZVOĐENJU RADOVA NA PREMJEŠTANJU I ZAŠTITI POSTOJEĆIH EE INSTALACIJA ZA POTREBE IZGRADNJE CESTA I CESTOVNIH OBJEKATA</t>
  </si>
  <si>
    <t>IZRADA PROJEKTNO TEHNIČKE DOKUMENTACIJE ZA INTERVENCIJE U PROSTORU NA PODRUČJU GRADSKIH ČETVRTI: SESVETE, PEŠČENICA I DONJA DUBRAVA</t>
  </si>
  <si>
    <t>SANACIJA ULIČNOG I DVORIŠNIH PROČELJA I KROVA ZGRADE, PRERADOVIĆEVA 13</t>
  </si>
  <si>
    <t>II. ANEKS O NABAVI ODJEĆE I OBUĆE KOMUNALNIH I PROMETNIH REDARA, REG. BROJ 503/12 OD 13.STUDENOG 2012.</t>
  </si>
  <si>
    <t>ANEKS UGOVORU O STRUČNOM NADZORU NAD PREMJEŠTANJEM I ZAŠTITOM POSTOJEĆIH EEN INSTALACIJA ZA POTREBE IZGRADNJE CESTA I CESTOVNIH OBJEKATA</t>
  </si>
  <si>
    <t>ANEKS UGOVORU O POPRAVKU ZAŠTITNIH OGRADA NA STAJALIŠTIMA JAVNOG GRADSKOG PRIJEVOZA</t>
  </si>
  <si>
    <t>STRUČNI NADZOR NAD GRADNJOM JAVNE RASVJETE ZBOG POVEZIVANJA VEĆ IZGRAĐENIH DIJELOVA U CJELINU  - HITNE INTERVENCIJE, 1. GRUPA:STRUČNI NADZOR NAD GRADNJOM JAVNE RASVJETE ZBOG POVEZIVANJA VEĆ IZGRAĐENIH DIJELOVA U CJELINU (JUŽNO OD ŽELJEZNIČKE PRUGE)-HITNE INTERVENCIJE I 2. GRUPA: STRUČNI NADZOR NAD GRADNJOM JAVNE RASVJETE ZBOG POVEZIVANJA VEĆ IZGRAĐENIH DIJELOVA U CJELINU (SJEVERNO OD ŽELJEZNIČKE PRUGE)-HITNE INTERVENCIJE</t>
  </si>
  <si>
    <t>ANEKS UGOVORU O NABAVI SRCIŠTA I KRIŽALIŠTA ZA TRAMVAJSKE PRUGE, REG. BROJ 226/2013 OD 16. SVIBNJA 2013.</t>
  </si>
  <si>
    <t>PRUŽANJE USLUGA ČIŠĆENJA I SOLJENJA JAVNIH POVRŠINA U ZIMSKIM UVJETIMA</t>
  </si>
  <si>
    <t>STROJNI I RUČNI UTOVAR SNIJEGA NA PODRUČJU GRADA ZAGREBA</t>
  </si>
  <si>
    <t>GODIŠNJI UGOVOR ZA NABAVU TELEKOMUNIKACIJSKIH USLUGA U FIKSNOJ TELEFONIJI I USLUGA PRISTUPA INTERNETU</t>
  </si>
  <si>
    <t>PRIMJENA MJERA ENERGETSKE UČINKOVITOSTI NA OBJEKTIMA GRADA ZAGREBA - KOMPENZACIJA JALOVE ENERGIJE</t>
  </si>
  <si>
    <t>NABAVA EEG UREĐAJA</t>
  </si>
  <si>
    <t>USLUGE PRESELJENJA POKRETNINA SA NEIZGRAĐENOG GRAĐEVINSKOG ZEMLJIŠTA U POSTUPKU OVRHE</t>
  </si>
  <si>
    <t>KIPARSKO RESTAURATORSKI RADOVI NA ULIČNOM PROČELJU ZGRADE ZVONIMIROVA 6</t>
  </si>
  <si>
    <t>GODIŠNJI UGOVOR O NABAVI USLUGE ODRŽAVANJA UREĐAJA I POSTROJENJA U OBJEKTIMA GRADSKE UPRAVE: 1. GRUPA - ODRŽAVANJE AGREGATA</t>
  </si>
  <si>
    <t>NABAVA UZV: 1. GRUPA: UZV APARATA S ABDOMINALNOM I VAGINALNOM SONDOM</t>
  </si>
  <si>
    <t>ODRŽAVANJE AUTOMATSKIH VRATA I PARKIRNIH RAMPI</t>
  </si>
  <si>
    <t>IZRADA PROJEKTNE DOKUMENTACIJE ZA GRADNJU JAVNOG KANALA U ULICI OREHOVEČKI OGRANAK</t>
  </si>
  <si>
    <t>NABAVA OPREME ZA OPERACIJSKU SALU</t>
  </si>
  <si>
    <t>NABAVA UZV: 2. GRUPA: DIGITALNI ULTRAZVUČNI UREĐAJ ZA NEUROLOŠKE I LOKOMOTORNE APLIKACIJE</t>
  </si>
  <si>
    <t>NABAVA POLISOMNOGRAFSKIH EEG: 1. GRUPA: STANICA ZA SNIMANJE EEG-A S POLISOMNOGRAFIJOM</t>
  </si>
  <si>
    <t>SANACIJA OBJEKTA DOMA ZA STARIJE I NEMOĆNE OSOBE "MEDVEŠČAK"</t>
  </si>
  <si>
    <t>GRADNJA JAVNE RASVJETE U ULICI JASENA</t>
  </si>
  <si>
    <t>IZRADA PROJEKTNE DOKUMENTACIJE ZA GRADNJU VODOOPSKRBNOG CJEVOVODA U ULICAMA: MEDVEŠČĆINA, DRAŠKOVEC, VULJAROV BREG, TOPOLJE I MARKUŠEVEČKA TRNAVA I GRADNJU JAVNOG KANALA U ULICAMA: ISCE, STAZA VUMELJE-LIJEŠĆE, TOPOLJE I MARKUŠEVEČKA TRNAVA</t>
  </si>
  <si>
    <t>ANEKS UGOVORU O SANACIJI PROČELJA (GRAĐEVINSKO OBRTNIČKI RADOVI) ŠKOLE ZA TEKSTIL</t>
  </si>
  <si>
    <t>NABAVA ANALIZATORA: 1. GRUPA: ANALIZATOR ZA IMUNOKEMIJU</t>
  </si>
  <si>
    <t>NABAVA ANALIZATORA: 2. GRUPA: POTPUNO AUTOMATIZIRANI BIOKEMIJSKI ANALIZATOR</t>
  </si>
  <si>
    <t>NABAVA POLISOMNOGRAFSKIH EEG: 2. GRUPA. POLISOMNOGRAFSKI APARAT - EEG</t>
  </si>
  <si>
    <t>REKONSTRUKCIJA ZAPADNE STRANE TRGA MARŠALA TITA - USLUGE KONTROLNIH ISPITIVANJA MATERIJALA I RADOVA  </t>
  </si>
  <si>
    <t>GODIŠNJI UGOVOR ZA NABAVU TELEKOMUNIKACIJSKIH USLUGA U MOBILNOJ TELEFONIJI</t>
  </si>
  <si>
    <t>IZRADA TEHNIČKE DOKUMENTACIJE ZA MJERE ENERGETSKE OBNOVE OBJEKATA U OKVIRU PROJEKTA ZAGEE -2. FAZA</t>
  </si>
  <si>
    <t>IZRADA PROJEKTNE DOKUMENTACIJE ZA IZGRADNJU VODOOPSKRBNOG CJEVOVODA U ULICAMA: STRAŽNJIČKI PUT V. ODVOJAK TE JAVNOG KANALA U ULICI LEŠČE I SJEVERNOJ ULICI</t>
  </si>
  <si>
    <t>KAMENARSKI RADOVI NA REKONSTRUKCIJI ZAPADNE STRANE TRGA MARŠALA TITA</t>
  </si>
  <si>
    <t>II. GODIŠNJI UGOVOR O USLUGAMA ODRŽAVANJA  KOMUNIKACIJSKIH I TELEFAKS UREĐAJA, INSTALACIJE I OPREME</t>
  </si>
  <si>
    <t>DODATNI RADOVI NA DOGRADNJI I ADAPTACIJI  OSNOVNE ŠKOLE PAVLEKA MIŠKINE</t>
  </si>
  <si>
    <t>KONTEJNERI I PRIKOLICA ZA OPREMU ZA SPAŠAVANJE U RUŠEVINAMA</t>
  </si>
  <si>
    <t>IZRADA PROJEKTNE DOKUMENTACIJE ZA IZGRADNJU VODOOPSKRBNOG CJEVOVODA U ULICAMA: MIROŠEVEČKA CESTA I MRNJAKI II. TE JAVNOG KANALA U ULICAMA: MIROŠEVEČKA CESTA I MRNJAKI II.</t>
  </si>
  <si>
    <t>II. ANEKS UGOVORU O SANACIJI CESTA I KANALIZACIJE NA GROBLJU MIROGOJ, REG. BROJ 271/13 OD 20.06.2013.</t>
  </si>
  <si>
    <t>ANEKS UGOVORU O OBNOVI PROČELJA I KROVA - MLETAČKA 5, REG. BROJ 64/2013 OD 11.02.2013</t>
  </si>
  <si>
    <t>USLUGE IZRADE VJEŠTAČKOG NALAZA ZA UTVRĐIVANJE TRŽIŠNE VRIJEDNOSTI NEKRETNINA ZA PRODAJU PUTEM NATJEČAJA, PRODAJU NEPOSREDNOM POGODBOM, OSNIVANJE I PRIJENOS PRAVA GRAĐENJA, OSNIVANJE PRAVA SLUŽNOSTI I RAZVRGNUĆE SUVLASNIČKE ZAJEDNICE NA ZEMLJIŠTU U VLASNIŠTVU GRADA ZAGREBA (OSIM STANOVA, POSLOVNIH ZGRADA, POSLOVNIH PROSTORA, GARAŽA I GARAŽNIH MJESTA)</t>
  </si>
  <si>
    <t>IZRADA TEHNIČKE DOKUMENTACIJE ZA MJERE ENERGETSKE OBNOVE OBJEKATA U OKVIRU PROJEKTA ZAGEE -3. FAZA</t>
  </si>
  <si>
    <t>GODIŠNJI UGOVOR O NABAVI I POSTAVI ROLETA U OBJEKTIMA GRADSKE UPRAVE</t>
  </si>
  <si>
    <t>ZAMJENA KROVNOG POKROVA NA OBJEKTU MJESNE SAMOUPRAVE MORAVČE, PRIGORSKA ULICA 80</t>
  </si>
  <si>
    <t>NABAVA NAMJEŠTAJA ZA BOLESNIČKE SOBE: 2. GRUPA: KREVETI OBIČNI, 3. GRUPA: KREVETI S OPREMOM</t>
  </si>
  <si>
    <t>STRUČNI I GEODETSKI NADZOR NAD GRAĐEVINSKIM I KAMENARSKIM RADOVIMA NA REKONSTRUKCIJI ZAPADNE STRANE TRGA MARŠALA TITA</t>
  </si>
  <si>
    <t>ANEKS UGOVORU O IZGRADNJI NOGOSTUPA I PROPUSTA PREKO POTOKA MELINEC U DOBRODOLSKOJ ULICI, REG. BROJ 456/13 OD 02.10.2013</t>
  </si>
  <si>
    <t>USLUGE IZRADE VJEŠTAČKOG NALAZA ZA UTVRĐIVANJE TRŽIŠNE VRIJEDNOSTI POSLOVNIH ZGRADA, POSLOVNIH PROSTORIJA, GARAŽA I GARAŽNIH MJESTA U VLASNIŠTVU GRADA ZAGREBA</t>
  </si>
  <si>
    <t>IZGRADNJA JAVNE RASVJETE NA PODRUČJU ZAGREBA - HITNE INTERVENCIJE</t>
  </si>
  <si>
    <t>UREĐENJE IGRALIŠTA SPORTSKOG CENTRA VRAPČE</t>
  </si>
  <si>
    <t>IZGRADNJA NOGOSTUPA U JEŽDOVEČKOJ CESTI</t>
  </si>
  <si>
    <t>NABAVA PRIKOLICE S OPREMOM ZA TEHNIČKE INTERVENCIJE I SPAŠAVANJE U RUŠEVINAMA</t>
  </si>
  <si>
    <t>GRAĐENJE JAVNE RASVJETE PROLAZA JURJA RATKAJA</t>
  </si>
  <si>
    <t>RADOVI NA PROŠIRENJU SUSTAVA PARKING VIDEO NADZOR</t>
  </si>
  <si>
    <t>III. GODIŠNJI UGOVOR ZA NABAVU USLUGA PODRŠKE I RAZVOJA INFORMACIJSKOG SUSTAVA GRADA ZAGREBA I PODRŠKA PRODUKCIJI DOKUMENATA</t>
  </si>
  <si>
    <t>II. GODIŠNJI UGOVOR ZA NABAVU USLUGA PODRŠKE I RAZVOJA INFORMACIJSKOG SUSTAVA GRADA ZAGREBA I PODRŠKA PRODUKCIJI DOKUMENATA</t>
  </si>
  <si>
    <t>SANACIJA KROVA RADI PROCURENJA NAKON NEVREMENA NA OBJEKTU MJESNE SAMOUPRAVE ŠESTINE, ŠESTINSKI TRG 10</t>
  </si>
  <si>
    <t>DODATNI RADOVI NA SANACIJI TERASE U ULICI BOŽIDARA MAGOVCA ISPOD BR. 3, 9 I 15</t>
  </si>
  <si>
    <t>IZRADA PROJEKTNO TEHNIČKE DOKUMENTACIJE ZA INTERVENCIJE U PROSTORU NA PODRUČJU GRADSKIH ČETVRTI: PODSUSED-VRAPČE, STENJEVEC, ČRNOMEREC I TREŠNJEVKA SJEVER</t>
  </si>
  <si>
    <t>NABAVA NAMJEŠTAJA I OPREME - UČENIČKI DOM NOVI ZAGREB</t>
  </si>
  <si>
    <t>IZRADA TEHNIČKE DOKUMENTACIJE ZA MJERE ENERGETSKE OBNOVE OBJEKATA U OKVIRU PROJEKTA ZAGEE -5. FAZA</t>
  </si>
  <si>
    <t>IZRADA TEHNIČKE DOKUMENTACIJE ZA SUSTAVE DALJINSKOG MJERENJA</t>
  </si>
  <si>
    <t>IZMJENA KROVA MJESNE SAMOUPRAVE OPOROVEC, OPOROVEČKI VINOGRADI 20</t>
  </si>
  <si>
    <t>GRADNJA JAVNE RASVJETE ŠETNICE VI. RETKOVEC I PETE POLJANICE OD KBR. 7. DO KBR. 15.</t>
  </si>
  <si>
    <t>DODATNI RADOVI NA REKONSTRUKCIJI VANJSKOG STUBIŠTA OBJEKTA NA TRGU STJEPANA RADIĆA 1</t>
  </si>
  <si>
    <t>GRAĐEVINSKO OBRTNIČKI RADOVI</t>
  </si>
  <si>
    <t>IZRADA PROJEKTNE DOKUMENTACIJE ZA IZGRADNJU VODOOPSKRBNOG CJEVOVODA U ULICAMA:ŠIPRUNEC, HAĐURI I IVANOVIĆEV ODVOJAK TE JAVNOG KANALA U ULICAMA MIHOVCI I ŠIPRUNEC</t>
  </si>
  <si>
    <t>ZEKAEM - SANACIJA KROVA</t>
  </si>
  <si>
    <t>IZGRADNJA ULICE JARUŠČICA S KOMUNALNOM INFRASTRUKTUROM</t>
  </si>
  <si>
    <t>SPORAZUM O RASKIDU UGOVORA O POSTAVLJANJU OGRADA NA NEIZGRAĐENOM GRAĐEVINSKOM ZEMLJIŠTU REG. BROJ 473/2011</t>
  </si>
  <si>
    <t>IZRADA PROJEKTNE DOKUMENTACIJE ZA IZGRADNJU JAVNE RASVJETE U ULICMA  ANTE JAKŠIĆA, JURE KAŠTELANA, VIDRIĆEVA ULICA, PJEŠAČKA STAZA IZMEĐU FOLNEGOVIĆEVOG NASELJA I BOROVJA,  KOPARSKA ULICA, POREČKA 7C-OŠ VUKOMEREC-IGRALIŠTE, ULICA ŽITNJAK II. ODVOJAK, CESTA OD RADNIČKE DO LABUDA</t>
  </si>
  <si>
    <t>SANACIJA OBJEKTA DOMA ZA STARIJE I NEMOĆNE OSOBE "TREŠNJEVKA"</t>
  </si>
  <si>
    <t>PROJEKTIRANJE JAVNE RASVJETE NA PODRUČJU ZAGREBA - HITNE INTERVENCIJE</t>
  </si>
  <si>
    <t>GODIŠNJI UGOVOR O NABAVI USLUGE ODRŽAVANJA  AUTOMATSKIH VRATA I PARKIRNIH RAMPI</t>
  </si>
  <si>
    <t>IZRADA PROJEKTNE DOKUMENTACIJE ZA PLINSKU INSTALACIJU I PRIKLJUČAK TE CENTRALNO GRIJANJE U OBJEKTIMA MJESNE SAMOUPRAVE KOZARI BOK, PETRUŠEVEC I SAVICA ŠANCI</t>
  </si>
  <si>
    <t>DALJNJI RAZVOJ I ODRŽAVANJE APLIKACIJE GOSJAR</t>
  </si>
  <si>
    <t>ANEKS UGOVORU O PRUŽANJU USLUGA HOTELSKOGI SMJEŠTAJA (STRANE DELEGACIJE)</t>
  </si>
  <si>
    <t>II. GODIŠNJI UGOVOR O ODRŽAVANJU FOTOKOPIRNIH I ISPISNIH UREĐAJA</t>
  </si>
  <si>
    <t>VODOINSTALATERSKI RADOVI U OBJEKTIMA MJESNE SAMOUPRAVE</t>
  </si>
  <si>
    <t>IZRADA PROJEKTNO - TEHNIČKE DOKUMENTACIJE ZA IZGRADNJU OBORINSKE ODVODNJE U ZADVORSKOJ ULICI U BREZOVICI</t>
  </si>
  <si>
    <t>IZMJENA PROZORA NA ULIČNOJ STRANI NA OBJEKTU UČENIČKOG DOMA MARIJE JAMBRIŠAK, OPATIČKA ULICA 14</t>
  </si>
  <si>
    <t>OBNOVA INTERNE NISKE RASVJETE OKO DOMA ZA STARIJE I NEMOĆNE OSOBE KSAVER, NEMETOVA ULICA - MALLINOV PUT</t>
  </si>
  <si>
    <t>IZRADA PROJEKTNE DOKUMENTACIJE ZA PROŠIRENJE ULICE REMETSKI KAMENJAK, POVEZIVANJE ULICA GORNJEG I DONJEG KRALJEVCA I ISTARSKE I KOSIRNIKOVE ULICE, IZGRADNJU OKRETIŠTA NA KRAJU ULICE KRALJEVEC II I IZGRADNJU KRUŽNOG TOKA VONČININA -VOĆARSKA</t>
  </si>
  <si>
    <t>IZRADA PROJEKTNO TEHNIČKE DOKUMENTACIJE ZA INTERVENCIJE U PROSTORU NA PODRUČJU GRADSKIH ČETVRTI-BREZOVICA, NOVI ZAGREB-ZAPAD, NOVI ZAGREB-ISTOK, TRNJE, TREŠNJEVKA -JUG</t>
  </si>
  <si>
    <t>GRAĐEVINSKI RADOVI NA REKONSTRUKCIJI OSNOVNE ŠKOLE PAVLEKA MIŠKINE</t>
  </si>
  <si>
    <t>III. GODIŠNJI UGOVOR O  NABAVI ULJA ZA LOŽENJE EKSTRA LAKOG</t>
  </si>
  <si>
    <t>SANACIJA PROČELJA - IBLEROV TRG 7</t>
  </si>
  <si>
    <t>SANACIJA KLIZIŠTA ZELENGAJ</t>
  </si>
  <si>
    <t>IZRADA TEHNIČKE DOKUMENTACIJE ZA MJERE ENERGETSKE OBNOVE OBJEKATA  U OKVIRU PROJEKTA ZAGEE - 6 FAZA</t>
  </si>
  <si>
    <t>DODATNI RADOVI NA IZGRADNJI VODOOPSKRBNOG CJEVOVODA I JAVNOG KANALA U ULICI ANTUNA ŠOLJANA OD BUDUĆE ULICE MEDPOTOKI DO ULICE JANKOMIR</t>
  </si>
  <si>
    <t>IZRADA PROJEKTA ZA GRADNJU I UREĐENJE DJEČJIH IGRALIŠTA, ZELENIH POVRŠINA I PARKOVA U GRADSKOJ ČETVRTI: TREŠNJEVKA  - SJEVER</t>
  </si>
  <si>
    <t>ISTRAŽIVANJE PROMETIH VELIČINA ZA POTREBE IZRADE STRATEŠKE KARTE BUKE GRADA  ZAGREBA</t>
  </si>
  <si>
    <t>IZRADA PROJEKTNE DOKUMENTACIJE ZA SPAJANJE ULICA: ŠTIROVNIČKA-ZAVIŽANSKA TE NEMETOVA-MALOVANSKE STUBE</t>
  </si>
  <si>
    <t>NABAVA PRIJENOSNIH RUČNIH INDUSTRIJSKIH RAČUNALA I PRIJENOSNIH TERMO PISAČA ZA KONTROLU PARKIRANJA</t>
  </si>
  <si>
    <t>UREĐIVANJE SANITARNIH PROSTORIJA U OBJEKTU MJESNE SAMOUPRAVE SIGEČICA, RAPSKA 41</t>
  </si>
  <si>
    <t>GRADNJA JAVNE RASVJETE PARKIRALIŠTA U ULICI STJEPANA GRADIĆA OD KBR. 3. DO KBR. 11.</t>
  </si>
  <si>
    <t>II.GODIŠNJI UGOVOR ZA NABAVU EURO LOŽIVOG ULJA EKSTRA LAKOG: GRUPA 2: ZA POTREBE GRIJANJA OSNOVNIH ŠKOLA GRADA ZAGREBA</t>
  </si>
  <si>
    <t>II. GODIŠNJI UGOVOR ZA NABAVU EURO LOŽIVOG ULJA EKSTRA LAKOG: GRUPA 1: ZA POTREBE GRIJANJA DJEČJIH VRTIĆA GRADA ZAGREBA</t>
  </si>
  <si>
    <t>II. GODIŠNJI UGOVOR ZA NABAVU EURO LOŽIVOG ULJA EKSTRA LAKOG: GRUPA 3: ZA POTREBE GRIJANJA SREDNJIH ŠKOLA GRADA ZAGREBA</t>
  </si>
  <si>
    <t>II.GODIŠNJI O NABAVI EURO LOŽIVOG ULJA EKSTRA LAKOG: GRUPA 4: ZA POTREBE GRIJANJA MJESNIH ODBORA GRADSKIH ČETVRTI GRADA ZAGREBA</t>
  </si>
  <si>
    <t>IZRADA PROJEKTA ZA GRADNJU I UREĐENJE DJEČJIH IGRALIŠTA, ZELENIH POVRŠINA I PARKOVA U GRADSKOJ ČETVRTI GORNJA DUBRAVA</t>
  </si>
  <si>
    <t>SANACIJA KLIZIŠTA U ISTARSKOJ ULICI U ZAGREBU</t>
  </si>
  <si>
    <t>SANACIJA I OBNOVA GLAVNOG PROČELJA I KROVA ZGRADE, BOŠKOVIĆEVA 20</t>
  </si>
  <si>
    <t>GRAĐEVINSKI RADOVI NA REKONSTRUKCIJI ZAPADNE STRANE TRGA MARŠALA TITA</t>
  </si>
  <si>
    <t>IV. GODIŠNJI UGOVOR O  ODRŽAVANJU JAVNIH SATOVA NA PODRUČJU GRADA ZAGREBA</t>
  </si>
  <si>
    <t>USLUGE ČIŠĆENJA NEIZGRAĐENOG GRAĐEVINSKOG ZEMLJIŠTA - DODATNE USLUGE</t>
  </si>
  <si>
    <t>IZRADA TEHNIČKE DOKUMENTACIJE ZA SANACIJU SREDIŠNJEG TRGA U NASELJU TRNSKO</t>
  </si>
  <si>
    <t>IZRADA PROJEKTNE DOKUMENTACIJE ZA IZGRADNJU NOGOSTUPA U ULICAMA KAMENITI STOL, ALAGOVIĆEVA - ZAPADNA STRANA I HORVATOVAC - RUŽIČNJAK</t>
  </si>
  <si>
    <t>IZRADA GLAVNOG I IZVEDBENOG PROJEKTA ZA GRADNJU DIJELA ULICE "4" U GOSPODARSKOJ ZONI SESVETE OD 110 KV TRAFOSTANICE  DO INDUSTRIJSKE ULICE</t>
  </si>
  <si>
    <t>III. GODIŠNJI UGOVOR O NABAVI MOTORNOG BENZINA EUROSUPER BS 95 I DIESEL GORIVA EURODIESEL BS</t>
  </si>
  <si>
    <t>SPORAZUM O RASKIDU UGOVORA O REKONSTRUKCIJI VODOOPSKRBNOG CJEVOVODA U DIJELU BUŽANOVE REG. BROJ 475/2011</t>
  </si>
  <si>
    <t>STRUČNI NADZOR NAD SANACIJOM KLIZIŠTA KVATERNIKOVA - DIVOSELSKA</t>
  </si>
  <si>
    <t>PROJEKTIRANJE JAVNE RASVJETE IVANIĆGRADSKE ULICE</t>
  </si>
  <si>
    <t>RADOVI KONSTRUKTIVNE SANACIJE ZGRADE, TRG SVETOG MARKA 9</t>
  </si>
  <si>
    <t>SANACIJA TERASE NA LOKACIJI TRG STJEPANA KONZULA</t>
  </si>
  <si>
    <t>UREDSKI NAMJEŠTAJ</t>
  </si>
  <si>
    <t>NABAVA POKRETNOG RTG UREĐAJA</t>
  </si>
  <si>
    <t>UGOVOR O SANACIJI ULIČNOG PROČELJA ZGRADE, JURJEVSKA 25A</t>
  </si>
  <si>
    <t>NABAVA STOMATOLOŠKIH JEDINICA: 1. GRUPA: STOMATOLOŠKE JEDINICE ZA POTREBE DOMOVA ZDRAVLJA, 2. GRUPA: STOMATOLOŠKE JEDINICE ZA POTREBE POLIKLINIKE</t>
  </si>
  <si>
    <t>RADIĆEVA 36 - SANACIJA ULIČNOG, DVORIŠNOG I ZABATNOG PROČELJA I KROVIŠTA</t>
  </si>
  <si>
    <t>SANACIJA OGRADE U ULICI LADISLAVA ŠABANA U NOVOM JELKOVCU</t>
  </si>
  <si>
    <t>SANACIJA KOSOG KROVA NK ČEHI</t>
  </si>
  <si>
    <t>UREĐENJE UČENIČKOG DOMA U SELSKOJ II. FAZA, ŠPORTSKA GIMNAZIJA</t>
  </si>
  <si>
    <t>IZRADA GLAVNOG PROJEKTA ZA ISHOĐENJE POTVRDE GLAVNOG PROJEKTA REKONSTRUKCIJE DIJELA ULICE SREDNJAK S KOMUNALNOM INFRASTRUKTUROM</t>
  </si>
  <si>
    <t>SANACIJA KANALIZACIJE I UREĐENJE SVLAČIONICA, III. GIMNAZIJA</t>
  </si>
  <si>
    <t>REKONSTRUKCIJA VANJSKE INTERNE ODVODNJE, DV BAJKA,</t>
  </si>
  <si>
    <t>OŠ VUGROVEC - KAŠINA, SANACIJA KROVA U PŠ PLANINA DONJA</t>
  </si>
  <si>
    <t>SANACIJA TERASE U ULICI BOŽIDARA MAGOVCA - JUŽNA I ZAPADNA STRANA</t>
  </si>
  <si>
    <t>GEOLOŠKE I GEOTEHNIČKE PROSPEKCIJE</t>
  </si>
  <si>
    <t>IZGRADNJA VODOOPSKRBNOG CJEVOVODA U ODVOJKU STENJEVEČKE ULICE OD ULICE KOTARNICA DO PRODUŽENE ULICE ANTUNA ŠOLJANA</t>
  </si>
  <si>
    <t>PROŠIRENJE SUSTAVA PARKING VIDEO NADZOR</t>
  </si>
  <si>
    <t>MJERE ENERGETSKE UČINKOVITOSTI U SUSTAVU JAVNE RASVJETE - II. FAZA</t>
  </si>
  <si>
    <t>IZRADA PROJEKTA SANACIJE KLIZIŠTA U ULICI VELIKI VRH KOD K.BR. 120</t>
  </si>
  <si>
    <t>USLUGA IZRADE STUDIJE "PROJEKCIJE I SCENARIJI GOSPODARSKOG RAZVOJA GRADA ZAGREBA ZA POTREBE RAZVOJNE STRATEGIJE / ZAGREBPLANA ZA RAZDOBLJE 2014. - 2020."-2. FAZA</t>
  </si>
  <si>
    <t>PRIJENOS I PRIJEVOZ ARHIVSKE GRAĐE, NAMJEŠTAJA, PRESELJENJA I SLIČNO</t>
  </si>
  <si>
    <t>USLUGA PROVEDBE MUZEJSKO-ISTRAŽIVAČKOG PROJEKTA ZAGREBAČKE INDUSTRIJSKE BAŠTINE</t>
  </si>
  <si>
    <t>SANACIJA KROVOVA CENTRA ZA AUTIZAM U ZAGREBU</t>
  </si>
  <si>
    <t>NOVELACIJA STRATEŠKE STUDIJE I PLANA GOSPODARENJA OTPADOM</t>
  </si>
  <si>
    <t>IZGRADNJA CRPNOG POSTROJENJA U ULICI HRVATSKE BRATSKE ZAJEDNICE</t>
  </si>
  <si>
    <t>MATERIJAL I REZERVNI DIJELOVI ZA ODRŽAVANJE SUSTAVA KLIMATIZACIJE PROIZVODNJE SIEMENS U OBJEKTIMA GRADSKE UPRAVE</t>
  </si>
  <si>
    <t>IZRADA TEHNIČKE DOKUMENTACIJE ZA MJERE ENERGETSKE OBNOVE OBJEKATA U OKVIRU PROJEKTA ZAGEE -4. FAZA</t>
  </si>
  <si>
    <t>IZRADA ENERGETSKIH CERIFIKATA ZA ZGRADE U VLASNIŠTVU GRADA ZAGREBA - II. FAZA</t>
  </si>
  <si>
    <t>IZRADA PROJEKTNE DOKUMENTACIJE ZA ADAPTACIJU OBJEKTA DOMA ZA STARIJE I NEMOĆNE OSOBE "PEŠĆENICA"</t>
  </si>
  <si>
    <t>IZRADA PROJEKTA SANACIJE KLIZIŠTA U ULICI VELIKI VRH KOD K.BR. 80</t>
  </si>
  <si>
    <t>IZRADA ELABORATA ZAŠTITE OD POŽARA ZA PROJEKTIRANJE VODOOPSKRBNOG CJEVOVODA U GRADSKOJ ČETVRTI NOVI ZAGREB - ZAPAD</t>
  </si>
  <si>
    <t>DV BOTINEC, NABAVA KUHINJSKE OPREME</t>
  </si>
  <si>
    <t>CENTAR MLADIH RIBNJAK - SANACIJA KROVA</t>
  </si>
  <si>
    <t>IZVOĐENJE DODATNIH RADOVA NA UREĐENJU PROMETNICA S ODVODNJOM NA PODRUČJU GRADSKIH ČETVRTI - BREZOVICA, NOVI ZAGREB - ZAPAD, NOVI ZAGREB - ISTOK, TRNJE I TREŠNJEVKA JUG</t>
  </si>
  <si>
    <t>UGRADNJA FOTONAPONSKIH SUSTAVA NA GRADSKIM OBJEKTIMA</t>
  </si>
  <si>
    <t>SANACIJA ULIČNOG PROČELJA ZGRADE, GUNDULIĆEVA 57</t>
  </si>
  <si>
    <t>IZRADA TEHNIČKE DOKUMENTACIJE ZA MJERE ENERGETSKE OBNOVE OBJEKATA  U OKVIRU PROJEKTA ZAGEE - 8 FAZA</t>
  </si>
  <si>
    <t>IZRADA PROJEKTNO TEHNIČKE DOKUMENTACIJE ZA INTERVENCIJE U PROSTORU NA PODRUČJU GRADSKIH ČETVRTI-PODSLJEME, GORNJA DUBRAVA, MAKSIMIR, GORNJI GRAD-MEDVEŠČAK, DONJI GRAD</t>
  </si>
  <si>
    <t>PREMJEŠTANJE POLJA JAVNE RASVJETE IZ TRANSFORMATORSKIH STANICA U KABELSKE RAZVODNE ORMARE JAVNE RASVJETE</t>
  </si>
  <si>
    <t>IZRADA PROMIDŽBENO - INFORMATIVNOG MATERIJALA U CILJU POTICANJA, IZOBRAZBE I POUČAVANJA, TE INFORMIRANJA O PROBLEMATICI OTPADA U GRADU ZAGREBU</t>
  </si>
  <si>
    <t>USLUGE DOBAVE STAKLA I STAKLARSKI RADOVI</t>
  </si>
  <si>
    <t>OŠ RAPSKA, IZRADA PROJEKTNE DOKUMENTACIJE STATIČKE SANACIJE OBJEKTA</t>
  </si>
  <si>
    <t>DODATNI RADOVI NA IZGRADNJI AUTOBUSNOG OKRETIŠTA U PLANINI GORNJOJ</t>
  </si>
  <si>
    <t>NABAVA NAMJEŠTAJA ZA PROSTOR MJESNE SAMOUPRAVE I DOBROVOLJNOG VATROGASNOG DRUŠTVA VRAPČE  -JUG</t>
  </si>
  <si>
    <t>STABILIZACIJA PADINE – ODRONA IZNAD ZIDA 6 U ALEJI GRADA BOLOGNE</t>
  </si>
  <si>
    <t>IZGRADNJA PROMETNICE SA OBORINSKOM ODVODNJOM U SKLOPU PROJEKTA REKONSTRUKCIJE ULICE SAVEZNE REPUBLIKE NJEMAČKE I RASKRIŽJA SA SJEVERNIM PRILAZOM NA AUTOCESTU, TE IZGRADNJE NOVE ULICE 1 SA KOMUNALNOM INFRASTRUKTUROM</t>
  </si>
  <si>
    <t>IZRADA PROJEKTA SANACIJE KLIZIŠTA U ULICI TURČINSKI PUT U PARUŽEVINI</t>
  </si>
  <si>
    <t>SPORAZUM O RASKIDU UGOVORA O IZRADI PROJEKTNE DOKUMENTACIJE ZA SANACIJU OBJEKTA S ISHOĐENJEM LOKACIJSKE I GRAĐEVINSKE DOZVOLE - ŠKOLA ZA KLASIČNI BALET REG. BROJ 124/2011</t>
  </si>
  <si>
    <t>SANACIJA PROČELJA I KROVA - PRERADOVIĆEVA 14</t>
  </si>
  <si>
    <t>GRADNJA JAVNE RASVJETE U STROJARSKOJ ULICI</t>
  </si>
  <si>
    <t>STRUČNI NADZOR NAD REDOVNIM ODRŽAVANJEM NERAZVRSTANIH CESTA NA PODRUČJU GRADA ZAGREBA 4. GRUPA - GRADSKE ČETVRTI GORNJA DUBRAVA, MAKSIMIR, PODSLJEME</t>
  </si>
  <si>
    <t>IZRADA PROJEKTA SANACIJE STABILNOSTI OBJEKTA OŠ PETRA ZRINSKOG</t>
  </si>
  <si>
    <t>STRUČNI NADZOR NAD REDOVNIM ODRŽAVANJEM NERAZVRSTANIH CESTA NA PODRUČJU GRADA ZAGREBA 2. GRUPA GRADSKE ČETVRTI SESVETE, DONJA DUBRAVA, PEŠČENICA-ŽITNJAK</t>
  </si>
  <si>
    <t>SANACIJA KLIZIŠTA U GAJEVOJ ULICI, GLAVNICA GORNJA</t>
  </si>
  <si>
    <t>GODIŠNJI UGOVOR ZA AUTOMATSKU REGULACIJU TERMOTEHNIČKIH INSTALACIJA</t>
  </si>
  <si>
    <t>MATERIJAL I DIJELOVI ZA TEKUĆE I INVESTICIJSKO ODRŽAVANJE</t>
  </si>
  <si>
    <t>II. GODIŠNJI UGOVOR ZA NABAVU  SOBOSLIKARSKO LIČILAČKI RADOVA ZA POTREBE GRADSKIH UPRAVNIH TIJELA</t>
  </si>
  <si>
    <t>II. GODIŠNJI UGOVOR O NABAVI KEMIJSKOG ČIŠĆENJA SPREMNIKA GORIVA I ČIŠĆENJE I ZBRINJAVANJE OTPADA SEPARATORA</t>
  </si>
  <si>
    <t>OSTALE POŠTANSKE USLUGE</t>
  </si>
  <si>
    <t>IZRADA TEHNIČKE DOKUMENTACIJE ZA MODERNIZACIJU JAVNE RASVJETE U OKVIRU PROJEKTA ZAGEE - 1 FAZA</t>
  </si>
  <si>
    <t>DUGOROČNI KREDIT ZA FINANCIRANJE INVESTICIJSKIH PROJEKATA U GRADU ZAGREBU</t>
  </si>
  <si>
    <t>REKONSTRUKCIJA I DOGRADNJA DOBROVOLJNOG VATROGASNOG DRUŠTVA ADAMOVEC</t>
  </si>
  <si>
    <t>GRADNJA JAVNE RASVJETE U VODOVODNOJ ULICI</t>
  </si>
  <si>
    <t>IZRADA IDEJNOG PROJEKTA ZA ISHOĐENJE LOKACIJSKE DOZVOLE ZA IZGRADNJU ULICE ČRNOMEREC OD HORVAĆANSKE CESTE DO BAŠTIJANOVE ULICE</t>
  </si>
  <si>
    <t>STRUČNI NADZOR NAD REDOVNIM ODRŽAVANJEM NERAZVRSTANIH CESTA NA PODRUČJU GRADA ZAGREBA, 1. GRUPA - GRADSKE ČETVRTI TRNJE, TREŠNJEVKA JUG, NOVI ZAGREB - ISTOK, NOVI ZAGREB -ZAPAD, BREZOVICA, 3. GRUPA - GRADSKE ČETVRTI DONJI GRAD, GORNJI GRAD - MEDVEŠČAK, TRENJEŠVKA  SJEVER, ČRNOMEREC, STENJEVEC, PODSUSED - VRAPČE</t>
  </si>
  <si>
    <t>DODATNI RADOVI NA IZGRADNJI JAVNOG KANALA U ULICI JANKOMIR</t>
  </si>
  <si>
    <t>USLUGA IZRADE STUDIJE "MOGUĆNOSTI NADOMJEŠTANJA UVOZNIH PROIZVODA VLASTITOM PROIZVODNJOM OD STRANE ZAGREBAČKE INDUSTRIJE I PARTNERA" 2. FAZA</t>
  </si>
  <si>
    <t>IZVOĐENJE RADOVA NA IZMJEŠTANJU NISKONAPONSKE MREŽE TS 1067 PODBREŽJE</t>
  </si>
  <si>
    <t>ISPORUKA I MONTAŽA SEMAFORSKE OPREME U RADNIČKOJ CESTI OD ULICE KOLEDOVČINA DO ŽELJEZNIČKE PRUGE</t>
  </si>
  <si>
    <t>PLINIFIKACIJA KOTLOVNICE, OŠ IVANA MAŽURANIĆA</t>
  </si>
  <si>
    <t>II. GODIŠNJI UGOVOR O NABAVI PREHRAMBENIH ARTIKALA ZA POTREBE DJEČJIH VRTIĆA GRADA ZAGREBA (NABAVA I ISPORUKA MLIJEKA I MLIJEČNIH PROIZVODA)</t>
  </si>
  <si>
    <t>UREĐENJE PROČELJA ZGRADE, KAPTOL 28</t>
  </si>
  <si>
    <t>GODIŠNJI UGOVOR ZA IZVOĐENJE RADOVA NA TEKUĆEM ODRŽAVANJU OBJEKATA GRADSKE UPRAVE:  GRUPA 1. GRAĐEVINSKO OBRTNIČKI RADOVI</t>
  </si>
  <si>
    <t>GODIŠNJI UGOVOR ZA IZVOĐENJE RADOVA NA TEKUĆEM ODRŽAVANJU OBJEKATA GRADSKE UPRAVE: GRUPA 2. PODOPOLAGAČKI RADOVI</t>
  </si>
  <si>
    <t>II. GODIŠNJI UGOVOR O PRUŽANJU USLUGE STRUČNE PROCJENE VOZILA KOJA SE NE KORISTE U PROMETU</t>
  </si>
  <si>
    <t>II. GODIŠNJI UGOVOR ZA NABAVU USLUGE PERIODIČNIH PREGLEDA I ISPITIVANJA PREMA GRUPAMA PREDMETA NABAVE: 2. GRUPA: ISPITIVANJE NEPROPUSNOSTI PLINSKIH INSTALACIJA U PLINSKIM KOTLOVNICAMA, TE ZA PLINSKA TROŠILA</t>
  </si>
  <si>
    <t>USLUGA IZRADE STUDIJE "ISTRAŽIVANJE ČIMBENIKA ŽIVOTNIH UVJETA U GRADU ZAGREBU "</t>
  </si>
  <si>
    <t>IZRADA TEHNIČKE DOKUMENTACIJE ZA MJERE ENERGETSKE OBNOVE OBJEKATA U OKVIRU PROJEKTA ZAGEE - 7 FAZA</t>
  </si>
  <si>
    <t>IZGRADNJA ULICA OZNAKA: 5,13 I 14, S OBORINSKOM ODVODNJOM, TE IZGRADNJOM INFRASTRUKTURNOG SUSTAVA ZA OBORINSKU ODVODNJU</t>
  </si>
  <si>
    <t>ODRŽAVANJE I NADOGRADNJA „ILOCK", „FAX INTEGRATION POINT" (FIP) I „E-REDAR" SUSTAVA</t>
  </si>
  <si>
    <t>DODATNI RADOVI NA IZGRADNJI AUTOBUSNOG STAJALIŠTA U ULICI VRHOVEC</t>
  </si>
  <si>
    <t>GODIŠNJI UGOVOR ZA NABAVU MATERIJALA I DIJELOVA ZA TEKUĆE I INVESTICIJSKO ODRŽAVANJE</t>
  </si>
  <si>
    <t>GRAĐENJE JAVNE RASVJETE OKOLIŠA MUZIČKE AKADEMIJE</t>
  </si>
  <si>
    <t>GODIŠNJI UGOVOR O ODRŽAVANJU  INSTALACIJA GRIJANJA, VENTILACIJA I PLINSKIH INSTALACIJA</t>
  </si>
  <si>
    <t>OPREMANJE ODJELA VI PSIHIJATRIJSKE BOLNICE "SVETI IVAN"</t>
  </si>
  <si>
    <t>PRUŽANJE POŠTANSKIH USLUGA</t>
  </si>
  <si>
    <t>SANACIJA ZELENOG KROVA IZNAD OBJEKTA U KOJEM SE NALAZE LOKALI I WC NA KREMATORIJU</t>
  </si>
  <si>
    <t>ODRŽAVANJE I NADOGRADNJA SUSTAVA ZA POSLOVANJE „CENTRIX"</t>
  </si>
  <si>
    <t>GRADNJA JAVNE RASVJETE PRODUŽENE ULICE FRANA KRSTE FRANKOPANA</t>
  </si>
  <si>
    <t>NABAVA PREHRAMBENIH ARTIKALA ZA POTREBE DJEČJIH VRTIĆA GRADA ZAGREBA (NABAVA I ISPORUKA SVJEŽIH KOKOŠJIH JAJA)</t>
  </si>
  <si>
    <t>REKONSTRUKCIJA PLINSKE KOTLOVNICE PODRUČNOG UREDA MAKSIMIR</t>
  </si>
  <si>
    <t>IZRADA PROJEKTNO-TEHNIČKE DOKUMENTACIJE ZA IZGRADNJU NOGOSTUPA DUŽ VARAŽDINSKE ULICE NA RELACIJI SESVETE - POPOVEC</t>
  </si>
  <si>
    <t>USLUGE GEODETSKIH RADOVA I GEODETSKOG NADZORA REKONSTRUKCIJE ULICE SAVEZNE REPUBLIKE NJEMAČKE I RASKRIŽJA SA SJEVERNIM PRILAZOM NA AUTOCESTU , TE IZGRADNJOM NOVE ULICE 1 SA KOMUNALNOM INFRASTRUKTUROM</t>
  </si>
  <si>
    <t>NABAVA DODATNIH OBVEZNIH UDŽBENIKA ZA UČENIKE OSNOVNIH ŠKOLA GRADA ZAGREBA - NAKLADNIK - PROFIL INTERNATIONAL D.O.O.</t>
  </si>
  <si>
    <t>DODATNI RADOVI NA IZGRADNJI ODJELA VI PSIHIJATRIJSKE BOLNICE SVETI IVAN</t>
  </si>
  <si>
    <t>DODATNI RADOVI NA IZGRADNJI SKLADIŠNO UREDSKE GRAĐEVINE PSIHIJATRIJSKE BOLNICE SVETI IVAN</t>
  </si>
  <si>
    <t>DODATNI RADOVI NA IZGRADNJI ODJELA IIIA PSIHIJATRIJSKE BOLNICE SVETI IVAN</t>
  </si>
  <si>
    <t>SUSTAV UPRAVLJANJA KAKVOĆOM ZRAKA U GRADU ZAGREBU I FAZA</t>
  </si>
  <si>
    <t>II. GODIŠNJI UGOVOR O PRUŽANJU USLUGA ČIŠĆENJA KOMUNALNE OPREME I PROČELJA ZGRADA OD GRAFITA TE UKLANJANJE PLAKATA S RAZLIČITIH POVRŠINA</t>
  </si>
  <si>
    <t>SANACIJA ULIČNOG PROČELJA ZGRADE,TRG KRALJA TOMISLAVA 2</t>
  </si>
  <si>
    <t>UREĐENJE PROČELJA ZGRADE, TRG KRALJA TOMISLAVA 8 / ŠENOINA 2</t>
  </si>
  <si>
    <t>SANACIJA PROČELJA I KROVA ZGRADE, TUŠKANAC 40</t>
  </si>
  <si>
    <t>NABAVA DODATNIH OBVEZNIH UDŽBENIKA ZA UČENIKE OSNOVNIH ŠKOLA GRADA ZAGREBA - NAKLADNIK - ALFA D.D.</t>
  </si>
  <si>
    <t>NABAVA PREHRAMBENIH ARTIKALA ZA POTREBE DJEČJIH VRTIĆA GRADA ZAGREBA ( NABAVA I ISPORUKA ŽIVOTINJSKIH I BILJNIH ULJA I MASTI )</t>
  </si>
  <si>
    <t>OBNOVA ULIČNOG PROČELJA I KROVA VIŠESTAMBENE GRAĐEVINE, ĐORĐIĆEVA 20</t>
  </si>
  <si>
    <t>UREĐENJE PROČELJA ZGRADE, TRG KRALJA TOMISLAVA 5 I 6</t>
  </si>
  <si>
    <t>USLUGA PREVENTIVNE I OBVEZNE PREVENTIVNE DEZINSEKCIJE KOMARACA NA PODRUČJU GRADA ZAGREBA</t>
  </si>
  <si>
    <t>NABAVA VISOKOTLAČNIH NATRIJEVIH ŽARULJA ZA ODRŽAVANJE JAVNE RASVJETE NA PODRUČJU GRADA ZAGREBA</t>
  </si>
  <si>
    <t>UREĐENJE ODVOJKA ULICE OBOJ</t>
  </si>
  <si>
    <t>ODRŽAVANJE PROGRAMSKE OPREME GRUPA B: ODRŽAVANJE PROGRAMSKE OPREME GE I SS SMALL WORLD (VODGIS)</t>
  </si>
  <si>
    <t>IZGRADNJA JAVNE RASVJETE ZA ULICE 5, 13 I 14</t>
  </si>
  <si>
    <t>IZRADA PROJEKTNE DOKUMENTACIJE ZA IZGRADNJU VODOOPSKRBNOG CJEVOVODA U ULICAMA: VELIKI VRH, BRANOVEČKA CESTA I LOBORI TE JAVNOG KANALA U ULICAMA: FURDINI, BRANOVEČKA CESTA I LOBORI</t>
  </si>
  <si>
    <t>GRAĐENJE JAVNE RASVJETE SPOJNE ULICE UNUTAR BLOKA BRANIMIROVA - ZAVRTNICA</t>
  </si>
  <si>
    <t>REKONSTRUKCIJA GLAVNOG SABIRNOG KANALA GTK-I ZA BREZOVICU - DODATNI RADOVI PO OSNOVNOM UGOVORU BR. N-96/12</t>
  </si>
  <si>
    <t>OBNOVA ULIČNOG I DVORIŠNOG PROČELJA ZGRADE, PRERADOVIĆEVA 18</t>
  </si>
  <si>
    <t>USLUGE PRIVREMENOG ZAPOŠLJAVANJA RADNIKA ZA GRADSKU PLINARU ZAGREB - OPSKRBA D.O.O.</t>
  </si>
  <si>
    <t>GRADNJA JAVNE RASVJETE U ULICI MILOVANA KOVAČEVIĆA</t>
  </si>
  <si>
    <t>BETON, GRUPA 3. BETON – ZEMLJOVLAŽNI – ISPORUKA JUŽNI DIO GRADA ZAGREBA (PODRUČJE GRADSKIH ČETVRTI: NOVI ZAGREB ISTOK, NOVI ZAGREB ZAPAD, BREZOVICA, TRNJE I TREŠNJEVKA JUG)</t>
  </si>
  <si>
    <t>BETON, GRUPA 2. BETON - ZEMLJOVLAŽNI - ISPORUKA ZAPADNI DIO GRADA ZAGREBA (PODRUČJE GRADSKIH ČETVRTI: DONJI GRAD, GORNJI GRAD - MEDVEŠČAK, TREŠNJEVKA SJEVER, STENJEVEC, ČRNOMEREC I PODSUSED-VRAPČE)</t>
  </si>
  <si>
    <t>BETON, GRUPA 1. BETON - ZEMLJOVLAŽNI - ISPORUKA ISTOČNI DIO GRADA ZAGREBA (PODRUČJE GRADSKIH ČETVRTI: SESVETE, GORNJA DUBRAVA, DONJA DUBRAVA, PEŠČENICA-ŽITNJAK, PODSLJEME I MAKSIMIR)</t>
  </si>
  <si>
    <t>SANACIJA KLIZIŠTA KVATERNIKOVA - DIVOSELSKA</t>
  </si>
  <si>
    <t>RADOVI NA ZAVRŠETKU IZGRADNJE SERVISNO-SKLADIŠNE HALE BR. 3 U PJ JANKOMIR - DODATNI RADOVI PO OSNOVNOM UGOVORU BR. N-185/12</t>
  </si>
  <si>
    <t>II. GODIŠNJI UGOVOR O OSIGURANJU RADNIKA DJEČJIH VRTIĆA GRADA ZAGREBA OD POSLJEDICA NESRETNOG SLUČAJA (NEZGODE)</t>
  </si>
  <si>
    <t>PREPROGRAMIRANJE ELEKTRONIČKIH SIGNALNIH UREĐAJA  EC-1 I EC-2, MSKE, SIEMENS I FAN-2000, GRUPA 4. PREPROGRAMIRANJE ELEKTRONIČKIH SIGNALNIH UREĐAJA SIEMENS</t>
  </si>
  <si>
    <t>II GODIŠNJI UGOVOR O OSIGURANJU IMOVINE GRUPA A) DJEČJI VRTIĆI</t>
  </si>
  <si>
    <t>II GODIŠNJI UGOVOR O OSIGURANJU IMOVINE GRUPA B) OSNOVNE ŠKOLE</t>
  </si>
  <si>
    <t>II GODIŠNJI UGOVOR O OSIGURANJU IMOVINE GRUPA C) SREDNJE ŠKOLE I UČENIČKI DOMOVI</t>
  </si>
  <si>
    <t>GRADNJA JAVNE RASVJETE PARKIRALIŠTA U BARANOVIĆEVOJ, HANDELOVOJ ULICI</t>
  </si>
  <si>
    <t>II. GODIŠNJI UGOVOR ZA NABAVU USLUGE PERIODIČNIH PREGLEDA I ISPITIVANJA PREMA GRUPAMA PREDMETA NABAVE: 1. GRUPA: PERIODIČNI PREGLEDI I ISPITIVANJE ELEKTRIČNIH I GROMOBRANSKIH INSTALACIJA, STABILNIH SUSTAVA ZA DOJAVU I GAŠENJE POŽARA, STROJEVA I UREĐAJA S POVEĆANIM OPASNOSTIMA I FAKTORA RADNE OKOLINE</t>
  </si>
  <si>
    <t>PREPROGRAMIRANJE ELEKTRONIČKIH SIGNALNIH UREĐAJA  EC-1 I EC-2, MSKE, SIEMENS I FAN-2000, GRUPA 2. PREPROGRAMIRANJE ELEKTRONIČKIH SIGNALNIH UREĐAJA MSKE</t>
  </si>
  <si>
    <t>SPORAZUM O RASKIDU UGOVORA O SANACIJI OGRADE U ULICI LADISLAVA ŠABANA U NOVOM JELKOVCU</t>
  </si>
  <si>
    <t>PREPROGRAMIRANJE ELEKTRONIČKIH SIGNALNIH UREĐAJA  EC-1 I EC-2, MSKE, SIEMENS I FAN-2000, GRUPA 4. PREPROGRAMIRANJE ELEKTRONIČKIH SIGNALNIH UREĐAJA FAN-2000</t>
  </si>
  <si>
    <t>PREPROGRAMIRANJE ELEKTRONIČKIH SIGNALNIH UREĐAJA  EC-1 I EC-2, MSKE, SIEMENS I FAN-2000, GRUPA 1. PREPROGRAMIRANJE ELEKTRONIČKIH SIGNALNIH UREĐAJA EC-1 I EC-2</t>
  </si>
  <si>
    <t>BETON, GRUPA 4. BETON – PLASTIČNI I PUMPANI  – ISPORUKA PODRUČJE GRADA ZAGREBA</t>
  </si>
  <si>
    <t>STRUČNI I GEODETSKI NADZOR NAD IZVOĐENJEM DODATNIH RADOVA UREĐENJA PROMETNICA S ODVODNJOM NA PODRUČJU GRADSKIH ČETVRTI – BREZOVICA, NOVI ZAGREB – ZAPAD, NOVI ZAGREB – ISTOK, TRNJE I TREŠNJEVKA JUG</t>
  </si>
  <si>
    <t>SANACIJA I OBNOVA PROČELJA I KUPOLE NA KROVU ZGRADE, GUNDULIĆEVA 31 / HEBRANGOVA 38</t>
  </si>
  <si>
    <t>RAZNI PREHRAMBENI PROIZVODI I PIĆA GRUPA 1. RAZNI PREHRAMBENI PROIZVODI I PIĆA - ISPORUKA NA LOKACIJE KORISNIKA GRAD ZAGREB, ZAGREBAČKI HOLDING D.O.O. I VODOOPSKRBA I ODVODNJA D.O.O.</t>
  </si>
  <si>
    <t>REDOVNO I IZVANREDNO ODRŽAVANJE, FUNKCIONALNA NADOGRADNJA, POPRAVAK I REZERVNI DIJELOVI SUSTAVA ZA NADZOR I UPRAVLJANJE PROMETOM PROIZVOĐAČA ATRON GMBH</t>
  </si>
  <si>
    <t>II GODIŠNJI UGOVOR ZA NABAVU RADNO-ZAŠTITNE OBUĆE ZA CIVILNU ZAŠTITU</t>
  </si>
  <si>
    <t>NABAVA OBVEZNIH UDŽBENIKA ZA UČENIKE  SREDNJIH ŠKOLA  GRADA ZAGREBA - NAKLADNIK ELEMENT D.O.O.</t>
  </si>
  <si>
    <t>REZERVNI DIJELOVI ZA VOZILA MARKE MAN - AUTOBUSNI PROGRAM - NADOPUNA ASORTIMANA, GRUPA 1 DIJELOVI MOTORA I RASHLADNOG SUSTAVA ZA VOZILA MARKE MAN - NADOPUNA ASORTIMANA</t>
  </si>
  <si>
    <t>REZERVNI DIJELOVI ZA VOZILA MARKE MAN - AUTOBUSNI PROGRAM - NADOPUNA ASORTIMANA, GRUPA 2 DIJELOVI KAROSERIJE ZA VOZILA MARKE MAN - NADOPUNA ASORTIMANA</t>
  </si>
  <si>
    <t>REZERVNI DIJELOVI ZA VOZILA MARKE MAN - AUTOBUSNI PROGRAM - NADOPUNA ASORTIMANA, GRUPA 3 DIJELOVI KLIMA UREĐAJA ZA VOZILA MARKE MAN - NADOPUNA ASORTIMANA</t>
  </si>
  <si>
    <t>REZERVNI DIJELOVI ZA VOZILA MARKE MAN - AUTOBUSNI PROGRAM - NADOPUNA ASORTIMANA, GRUPA 4 OSTALI DIJELOVI ZA VOZILA MARKE MAN - NADOPUNA ASORTIMANA</t>
  </si>
  <si>
    <t>REZERVNI DIJELOVI ZA VOZILA MARKE MAN - AUTOBUSNI PROGRAM - NADOPUNA ASORTIMANA, GRUPA 5 STAKLA ZA VOZILA MARKE MAN - NADOPUNA ASORITMANA</t>
  </si>
  <si>
    <t>REZERVNI DIJELOVI ZA VOZILA MARKE MAN - AUTOBUSNI PROGRAM - NADOPUNA ASORTIMANA, GRUPA 6 ELEKTROMATERIJAL ZA VOZILA MARKE MAN - NADOPUNA ASORITMANA</t>
  </si>
  <si>
    <t>NABAVA OBVEZNIH UDŽBENIKA ZA UČENIKE OSNOVNIH I SREDNJIH ŠKOLA GRADA ZAGREBA -NAKLADNIK KLETT VERLAG D.O.O.</t>
  </si>
  <si>
    <t>NABAVA OBVEZNIH UDŽBENIKA ZA UČENIKE OSNOVNIH I SREDNJIH ŠKOLA GRADA ZAGREBA -NAKLADNIK ALKA SCRIPT D.O.O.</t>
  </si>
  <si>
    <t>NABAVA OBVEZNIH UDŽBENIKA ZA UČENIKE OSNOVNIH I SREDNJIH ŠKOLA GRADA ZAGREBA -NAKLADNIK SYSPRINT D.O.O.</t>
  </si>
  <si>
    <t>NABAVA OBVEZNIH UDŽBENIKA ZA UČENIKE OSNOVNIH I SREDNJIH ŠKOLA GRADA ZAGREBA -NAKLADNIK ALFA D.D. ZA IZDAVAČKE, GRAFIČKE I TRGOVAČKE POSLOVE</t>
  </si>
  <si>
    <t>NABAVA OBVEZNIH UDŽBENIKA ZA UČENIKE OSNOVNIH I SREDNJIH ŠKOLA GRADA ZAGREBA -NAKLADNIK KRŠĆANSKA SADAŠNJOST D.O.O.</t>
  </si>
  <si>
    <t>OŠ PETRA ZRINSKOG, SANACIJA PROZORA II. FAZA</t>
  </si>
  <si>
    <t>NABAVA OBVEZNIH UDŽBENIKA ZA UČENIKE OSNOVNIH I SREDNJIH ŠKOLA  GRADA ZAGREBA - NAKLADNIK NEODIDACTA D.O.O.</t>
  </si>
  <si>
    <t>NABAVA POMAGALA PRI INKONTINENCIJI</t>
  </si>
  <si>
    <t>NABAVA OBVEZNIH UDŽBENIKA ZA UČENIKE OSNOVNIH I SREDNJIH ŠKOLA GRADA ZAGREBA- NAKLADNIK ŠKOLSKA KNJIGA D.D.</t>
  </si>
  <si>
    <t>II. GODIŠNJI UGOVOR ZA ODRŽAVANJE UREĐAJA U PROTUEKSPLOZIJSKOJ IZVEDBI U OBJEKTIMA GRADSKE UPRAVE</t>
  </si>
  <si>
    <t>DUGOROČNI KREDIT ZA REPROGRAM KRATKOROČNIH KREDITNIH OBVEZA GRUPA 1. DUGOROČNI KREDIT ZA REPROGRAM KRATKOROČNIH KREDITNIH OBVEZA PO UGOVORU O KRATKOROČNOM KUNSKOM KREDITU (BR. UGOVORA 3232739244; BROJ PARTIJE: 5701058188)</t>
  </si>
  <si>
    <t>DUGOROČNI KREDIT ZA REPROGRAM KRATKOROČNIH KREDITNIH OBVEZA GRUPA 2. DUGOROČNI KREDIT ZA REPROGRAM KRATKOROČNIH KREDITNIH OBVEZAPO UGOVORU O KRATKOROČNOM KREDITU (BR. UGOVORA: 2402006- 1031262160/34012003-5001832021)</t>
  </si>
  <si>
    <t>DUGOROČNI KREDIT ZA REPROGRAM KRATKOROČNIH KREDITNIH OBVEZA GRUPA 3. DUGOROČNI KREDIT ZA REPROGRAM KRATKOROČNIH KREDITNIH OBVEZA PO UGOVORU O KRATKOROČNOM REVOLVING KREDITU (BR. UGOVORA: 69/2013 – DPVPJS)</t>
  </si>
  <si>
    <t>NABAVA OBVEZNIH UDŽBENIKA ZA UČENIKE OSNOVNIH I SREDNJIH ŠKOLA  GRADA ZAGREBA - NAKLADNIK ALGORITAM D.O.O.</t>
  </si>
  <si>
    <t>REZERVNI DIJELOVI ZA VOZILA MARKE MERCEDES - AUTOBUSNI PROGRAM - NADOPUNA ASORTIMANA GRUPA 6. - OSTALI DIJELOVI ZA VOZILA MARKE MERCEDES BENZ - NADOPUNA ASORTIMANA</t>
  </si>
  <si>
    <t>REZERVNI DIJELOVI ZA VOZILA MARKE MERCEDES - AUTOBUSNI PROGRAM - NADOPUNA ASORTIMANA GRUPA 5. - DIJELOVI KLIMA UREĐAJA ZA VOZILA MARKE MERCEDES BENZ - NADOPUNA ASORTIMANA</t>
  </si>
  <si>
    <t>REZERVNI DIJELOVI ZA VOZILA MARKE MERCEDES - AUTOBUSNI PROGRAM - NADOPUNA ASORTIMANA GRUPA 8. - ELEKTROMATERIJAL ZA VOZILA MARKE MERCEDES BENZ -NADOPUNA ASORTIMANA.</t>
  </si>
  <si>
    <t>REZERVNI DIJELOVI ZA VOZILA MARKE MERCEDES - AUTOBUSNI PROGRAM - NADOPUNA ASORTIMANA GRUPA 4. - DIJELOVI KAROSERIJE ZA VOZILA MARKE MERCEDES BENZ - NADOPUNA ASORTIMANA</t>
  </si>
  <si>
    <t>REZERVNI DIJELOVI ZA VOZILA MARKE MERCEDES - AUTOBUSNI PROGRAM - NADOPUNA ASORTIMANA GRUPA 3. - DIJELOVI MOTORA I RASHLADNOG SUSTAVA ZA VOZILA MARKE MERCEDES BENZ - NADOPUNA ASORTIMANA</t>
  </si>
  <si>
    <t>REZERVNI DIJELOVI ZA VOZILA MARKE MERCEDES - AUTOBUSNI PROGRAM - NADOPUNA ASORTIMANA GRUPA 1. - DIJELOVI KOČIONOG SUSTAVA ZA VOZILA MARKE MERCEDES BENZ - NADOPUNA  ASORTIMANA</t>
  </si>
  <si>
    <t>REZERVNI DIJELOVI ZA VOZILA MARKE MERCEDES - AUTOBUSNI PROGRAM - NADOPUNA ASORTIMANA GRUPA 2. - DIJELOVI UPRAVLJAČKOG SUSTAVA ZA VOZILA MARKE MERCEDES BENZ - NADOPUNA ASORTIMANA</t>
  </si>
  <si>
    <t>II GODIŠNJI UGOVOR O NABAVI USLUGA FIKSNE TELEFONIJE - DJEČJI VRTIĆI, OSNOVNE ŠKOLE, SREDNJE ŠKOLE</t>
  </si>
  <si>
    <t>REZERVNI DIJELOVI ZA VOZILA MARKE MERCEDES - AUTOBUSNI PROGRAM - NADOPUNA ASORTIMANA GRUPA 7. - STAKLA ZA VOZILA MARKE MERCEDES BENZ - NADOPUNA ASORTIMANA</t>
  </si>
  <si>
    <t>IZRADA IDEJNOG RJEŠENJA SUSTAVA OBORINSKE ODVODNJE PROMETNICA U JUŽNOM DIJELU GRADA ZAGREBA (JUŽNO OD RIJEKE SAVE)</t>
  </si>
  <si>
    <t>ANEKS UGOVORU - NABAVA OBVEZNIH UDŽBENIKA ZA UČENIKE OSNOVNIH I SREDNJIH ŠKOLA GRADA ZAGREBA -NAKLADNIK SYSPRINT D.O.O.</t>
  </si>
  <si>
    <t>KONTEJNERI ZA IZDVOJENO SAKUPLJANJE OTPADA GRUPA 7. PRESS KONTEJNERI ZAPREMNINE 5-10 M3</t>
  </si>
  <si>
    <t>KONTEJNERI ZA IZDVOJENO SAKUPLJANJE OTPADA GRUPA 4. KONTEJNERI ZA IZDVOJENO SAKUPLJANJE TEKSTILA</t>
  </si>
  <si>
    <t>III. GODIŠNJI UGOVOR O NABAVI RADNO-ZAŠTITNE ODJEĆE ZA POSTROJBE OPĆE NAMJENE CIVILNE ZAŠTITE</t>
  </si>
  <si>
    <t>GODIŠNJI UGOVOR ZA NABAVU BETONA - GRUPA 3. BETON – ZEMLJOVLAŽNI – ISPORUKA JUŽNI DIO GRADA ZAGREBA (PODRUČJE GRADSKIH ČETVRTI: NOVI ZAGREB ISTOK, NOVI ZAGREB ZAPAD, BREZOVICA, TRNJE I TREŠNJEVKA JUG)</t>
  </si>
  <si>
    <t>POJEDINAČNI UGOVOR - REDOVNO I IZVANREDNO ODRŽAVANJE, FUNKCIONALNA NADOGRADNJA, POPRAVAK I REZERVNI DIJELOVI SUSTAVA ZA NADZOR I UPRAVLJANJE PROMETOM PROIZVOĐAČA ATRON GMBH</t>
  </si>
  <si>
    <t>GODIŠNJI UGOVOR ZA NABAVU PREHRAMBENIH ARTIKALA ZA POTREBE DJEČJIH VRTIĆA GRADA ZAGREBA ( NABAVA I ISPORUKA ŽIVOTINJSKIH I BILJNIH ULJA I MASTI ) GRUPA 4. ZONA 4- PEŠĆENICA - ŽITNJAK, NOVI ZAGREB ISTOK, NOVI ZAGREB ZAPAD, BREZOVICA</t>
  </si>
  <si>
    <t>GODIŠNJI UGOVOR O NABAVI PREHRAMBENIH ARTIKALA ZA POTREBE DJEČJIH VRTIĆA GRADA ZAGREBA ( NABAVA I ISPORUKA ŽIVOTINJSKIH I BILJNIH ULJA I MASTI )  GRUPA 3. ZONA 3. TRNJE, TREŠNJEVKA SJEVER, TREŠNJEVKA JUG, STENJEVEC</t>
  </si>
  <si>
    <t>GODIŠNJI UGOVOR O NABAVI PREHRAMBENIH ARTIKALA ZA POTREBE DJEČJIH VRTIĆA GRADA ZAGREBA ( NABAVA I ISPORUKA ŽIVOTINJSKIH I BILJNIH ULJA I MASTI ) GRUPA 1: ZONA 1 - MAKSIMIR, GORNJI GRAD-MEDVEŠĆAK, DONJI GRAD, ČRNOMEREC, PODUSED-VRAPČE</t>
  </si>
  <si>
    <t>GODIŠNJI UGOVOR O NABAVI PREHRAMBENIH ARTIKALA ZA POTREBE DJEČJIH VRTIĆA GRADA ZAGREBA ( NABAVA I ISPORUKA ŽIVOTINJSKIH I BILJNIH ULJA I MASTI ) -GRUPA 2.: ZONA 2 -  SESVETE, GORNJA DUBRAVA, DONJA DUBRAVA, PODSLJEME</t>
  </si>
  <si>
    <t>POVREMENI NAJAM AUTODIZALICA NOSIVOSTI DO 120 T</t>
  </si>
  <si>
    <t>MLETAČKA 10 - SANACIJA PROČELJA I KROVA</t>
  </si>
  <si>
    <t>GODIŠNJI UGOVOR  - BETON, GRUPA 2. BETON - ZEMLJOVLAŽNI - ISPORUKA ZAPADNI DIO GRADA ZAGREBA (PODRUČJE GRADSKIH ČETVRTI: DONJI GRAD, GORNJI GRAD - MEDVEŠČAK, TREŠNJEVKA SJEVER, STENJEVEC, ČRNOMEREC I PODSUSED-VRAPČE)</t>
  </si>
  <si>
    <t>GODIŠNJI UGOVOR - PERIODIČKA IZOBRAZBA VOZAČA PO ZAKONU O PRIJEVOZU U CESTOVNOM PROMETU</t>
  </si>
  <si>
    <t>GODIŠNJI UGOVOR - RAZNI PREHRAMBENI PROIZVODI I PIĆA GRUPA 1. RAZNI PREHRAMBENI PROIZVODI I PIĆA - ISPORUKA NA LOKACIJE KORISNIKA GRADA ZAGREBA</t>
  </si>
  <si>
    <t>IZGRADNJA TRANSPORTNOG KOLEKTORA ''T6'' U SUSTAVU ODVODNJE NASELJA SESVETSKI KRALJEVEC ISTOK (SLIV E3) - DODATNI RADOVI PO OSNOVNOM UGOVORU BR. N-85/12</t>
  </si>
  <si>
    <t>GODIŠNJI UGOVOR - BETON, GRUPA 4. BETON – PLASTIČNI I PUMPANI  – ISPORUKA PODRUČJE GRADA ZAGREBA</t>
  </si>
  <si>
    <t>DERATIZACIJA, DEZINSEKCIJA I DEZINFEKCIJA 6. GRUPA OSTALE POSEBNE MJERE PREVENTIVNE I OBVEZNE PREVENTIVNE DEZINFEKCIJE, DEZINSEKCIJE I DERATIZACIJE NA PODRUČJU GRADA ZAGREBA, ZA POTREBE GRADA ZAGREBA GRADSKIH UREDA, ZAVODA, SLUŽBI, JAVNE VATROGASNE POSTROJBE GRADA ZAGREBA I USTANOVE ZOOLOŠKI VRT GRADA ZAGREBA</t>
  </si>
  <si>
    <t>SANACIJA PROČELJA ZGRADE, PALMOTIĆEVA 80</t>
  </si>
  <si>
    <t>III GODIŠNJI UGOVOR - NABAVA PREHRAMBENIH ARTIKALA ZA POTREBE DJEČJIH VRTIĆA GRADA ZAGREBA (NABAVA I ISPORUKA KRUHA I KRUŠNIH PROIZVODA) GRUPA 4.: ZONA 4 - PEŠĆENICA - ŽITNJAK, NOVI ZAGREB ISTOK, NOVI ZAGREB ZAPAD, BREZOVICA</t>
  </si>
  <si>
    <t>III GODIŠNJI UGOVOR - NABAVA PREHRAMBENIH ARTIKALA ZA POTREBE DJEČJIH VRTIĆA GRADA ZAGREBA (NABAVA I ISPORUKA KRUHA I KRUŠNIH PROIZVODA) GRUPA 3.: ZONA 3- TRNJE, TREŠNJEVKA SJEVER, TREŠNJEVKA JUG, STENJEVEC</t>
  </si>
  <si>
    <t>III GODIŠNJI UGOVOR - NABAVA PREHRAMBENIH ARTIKALA ZA POTREBE DJEČJIH VRTIĆA GRADA ZAGREBA (NABAVA I ISPORUKA KRUHA I KRUŠNIH PROIZVODA) GRUPA 2.: ZONA 2 - SESVETE, GORNJA DUBRAVA, DONJA DUBRAVA, PODSLJEME</t>
  </si>
  <si>
    <t>III GODIŠNJI UGOVOR - NABAVA PREHRAMBENIH ARTIKALA ZA POTREBE DJEČJIH VRTIĆA GRADA ZAGREBA (NABAVA I ISPORUKA KRUHA I KRUŠNIH PROIZVODA) GRUPA 1.: ZONA 1 - MAKSIMIR, GORNJI GRAD - MEDVEŠĆAK, DONJI GRAD, ČRNOMERE, PODSUSED - VRAPČE</t>
  </si>
  <si>
    <t>REPROMATERIJAL ZA PE (POLIETILENSKE) PLINOVODE GRUPA 1. PE - HD CIJEVI I SPOJNI ELEMENTI</t>
  </si>
  <si>
    <t>REPROMATERIJAL ZA PE (POLIETILENSKE) PLINOVODE GRUPA 2. SEDLA S POSEBNOM NAMJENOM</t>
  </si>
  <si>
    <t>REPROMATERIJAL ZA PE (POLIETILENSKE) PLINOVODE GRUPA 3. SPOJNI ELEMENTI S POSEBNOM NAMJENOM</t>
  </si>
  <si>
    <t>REZERVNI DIJELOVI ZA TERETNA VOZILA MARKE MAN - NADOPUNA ASORTIMANA GRUPA 2.  DIJELOVI KOČNIH INSTALACIJA, GRUPA 3.  DIJELOVI UPRAVLJAČKOG SUSTAVA, GRUPA 4.  REZERVNI DIJELOVI MOTORA, GRUPA 6.  REZERVNI DIJELOVI MJENJAČA I DIFERENCIJALA, GRUPA 8.  REZERVNI DIJELOVI SUSTAVA ZA GRIJANJE, VENTILACIJU I KLIMATIZACIJU ZA,  GRUPA 10.  REZERVNI DIJELOVI KAROSERIJE,  GRUPA 12.   REZERVNI DIJELOVI SVJETLOSNE OPREME, GRUPA 13.   REZERVNI DIJELOVI ALTERNATORA I ELEKTROPOKRETAČA ZA VOZILA MARKE, GRUPA 16.   REZERVNI DIJELOVI PUMPE VISOKOG PRITISKA, GRUPA 17.   REZERVNI DIJELOVI GIBNJEVA, GRUPA 18.   REZERVNI DIJELOVI OGLEDALA I STAKLA ZA OGLEDALA</t>
  </si>
  <si>
    <t>REZERVNI DIJELOVI ZA TERETNA VOZILA MARKE MAN - NADOPUNA ASORTIMANA GRUPA 4.  REZERVNI DIJELOVI MOTORA ZA VOZILA MARKE MAN – NADOPUNA ASORTIMANA GRUPA 5.  REZERVNI DIJELOVI SPOJKE MOTORA ZA VOZILA MARKE MAN – NADOPUNA ASORTIMANA GRUPA 7.  REZERVNI DIJELOVI RASHLADNOG SUSTAVA ZA VOZILA MARKE MAN – NADOPUNA GRUPA 11.   REZERVNI DIJELOVI OVJESA I JASTUKA ZA VOZILA MARKE MAN – NADOPUNA ASORTIMANA GRUPA 15.   REZERVNI DIJELOVI STAKLA KABINE ZA VOZILA MARKE MAN – NADOPUNA ASORTIMANA GRUPA 19.   OSTALI REZERVNI DIJELOVI ZA VOZILA MARKE MAN – NADOPUNA ASORTIMANA</t>
  </si>
  <si>
    <t>RADNI STROJEVI ZA GRAĐEVINSKE RADOVE GRUPA 1. ROVOKOPAČI</t>
  </si>
  <si>
    <t>RADNI STROJEVI ZA GRAĐEVINSKE RADOVE GRUPA 3. GLODALICA ZA ASFALT NA GUSJENICAMA</t>
  </si>
  <si>
    <t>DERATIZACIJA, DEZINSEKCIJA I DEZINFEKCIJA 5. GRUPA USLUGA PREVENTIVNE I OBVEZNE PREVENTIVNE DERATIZACIJE NA PODRUČJU GRADA ZAGREBA - V. ZONA (15. PEŠĆENICA-ŽITNJAK 16. DONJA DUBRAVA I 17. SESVETE)</t>
  </si>
  <si>
    <t>DERATIZACIJA, DEZINSEKCIJA I DEZINFEKCIJA 3. GRUPA USLUGA PREVENTIVNE I OBVEZNE PREVENTIVNE DERATIZACIJE NA PODRUČJU GRADA ZAGREBA - III. ZONA (8. PODSUSED-VRAPČE 9. STENJEVEC I 10. TREŠNJEVKA-JUG)</t>
  </si>
  <si>
    <t>ZIMSKA SLUŽBA GRUPA 10. NOVI ZAGREB ZAPAD - JUGOISTOČNI DIO</t>
  </si>
  <si>
    <t>ZIMSKA SLUŽBA GRUPA 3. SESVETE – ISTOK</t>
  </si>
  <si>
    <t>DERATIZACIJA, DEZINSEKCIJA I DEZINFEKCIJA 1. GRUPA USLUGA PREVENTIVNE I OBVEZNE PREVENTIVNE DERATIZACIJE NA PODRUČJU GRADA ZAGREBA -I. ZONA (1. NOVI ZAGREB-ZAPAD, 2. NOVI ZAGREB-ISTOK I 3. BREZOVICA)</t>
  </si>
  <si>
    <t>ZIMSKA SLUŽBA GRUPA 13. DETALJNO ČIŠĆENJE I ODVOZ SNIJEGA</t>
  </si>
  <si>
    <t>DERATIZACIJA, DEZINSEKCIJA I DEZINFEKCIJA 2. GRUPA USLUGA PREVENTIVNE I OBVEZNE PREVENTIVNE DERATIZACIJE NA PODRUČJU GRADA ZAGREBA - II. ZONA (4. ČRNOMEREC, 5. GORNJI GRAD – MEDVEŠČAK, 6. PODSLJEME I 7. TREŠNJEVKA - SJEVER)</t>
  </si>
  <si>
    <t>REKONSTRUKCIJA ELEKTROINSTALACIJA (GLAVNI RAZDJELNIK, USPONSKI VODOVI, KATNI RAZDJELNICI I KATNI RAZVOD) U PROSTORIMA GRADSKIH UPRAVNIH TIJELA GRUPA 1.: RADOVI U PROSTORIMA PODRUČNOG UREDA TRNJE GRUPA 2.: RADOVI U PROSTORIMA PODRUČNOG UREDA MAKSIMIR GRUPA 3.: RADOVI U PROSTORIMA PODRUČNOG UREDA TREŠNJEVKA GRUPA 4.: RADOVI U PROSTORIMA PODRUČNOG UREDA ČRNOMEREC GRUPA 5.: RADOVI U PROSTORIMA PODRUČNOG UREDA CENTAR</t>
  </si>
  <si>
    <t>RADNI STROJEVI ZA GRAĐEVINSKE RADOVE GRUPA 2. UTOVARIVAČ NA KOTAČIMA</t>
  </si>
  <si>
    <t>2. GODIŠNJI UGOVOR - NABAVA PREHRAMBENIH ARTIKALA ZA POTREBE DJEČJIH VRTIĆA GRADA ZAGREBA (NABAVA I ISPORUKA SVJEŽEG MESA), GRUPA 6.: ZONA 6- TREŠNJEVKA SJEVER, TREŠNJEVKA JUG</t>
  </si>
  <si>
    <t>2. GODIŠNJI UGOVOR - NABAVA PREHRAMBENIH ARTIKALA ZA POTREBE DJEČJIH VRTIĆA GRADA ZAGREBA (NABAVA I ISPORUKA SVJEŽEG MESA), GRUPA 1.: ZONA 1- ČRNOMEREC, PODSUSED-VRAPČE, STENJEVEC</t>
  </si>
  <si>
    <t>2. GODIŠNJI UGOVOR - NABAVA PREHRAMBENIH ARTIKALA ZA POTREBE DJEČJIH VRTIĆA GRADA ZAGREBA (NABAVA I ISPORUKA SVJEŽEG MESA), GRUPA 2.: ZONA 2- DONJI GRAD, GORNJI GRAD, MEDVEŠČAK, MAKSIMIR</t>
  </si>
  <si>
    <t>2. GODIŠNJI UGOVOR - NABAVA PREHRAMBENIH ARTIKALA ZA POTREBE DJEČJIH VRTIĆA GRADA ZAGREBA (NABAVA I ISPORUKA SVJEŽEG MESA), GRUPA 7.: ZONA 7- NOVI ZAGREB - ISTOK, NOVI ZAGREB - ZAPAD, BREZOVICA</t>
  </si>
  <si>
    <t>2. GODIŠNJI UGOVOR - NABAVA PREHRAMBENIH ARTIKALA ZA POTREBE DJEČJIH VRTIĆA GRADA ZAGREBA (NABAVA I ISPORUKA SVJEŽEG MESA),  GRUPA 5.: ZONA 5- TRNJE, PEŠČENICA- ŽITNJAK</t>
  </si>
  <si>
    <t>POJEDINAČNI UGOVOR - POVREMENI NAJAM AUTODIZALICA NOSIVOSTI DO 120 T</t>
  </si>
  <si>
    <t>IZGRADNJA PRECRPNE STANICE VRAPČE - DODATNI RADOVI PO OSNOVNOM UGOVORU BR. N-48/12</t>
  </si>
  <si>
    <t>NABAVA DODATNIH UDŽBENIKA ZA UČENIKE OSNOVNIH I SREDNJIH ŠKOLA  GRADA ZAGREBA - NAKLADNIK ALGORITAM D.O.O.</t>
  </si>
  <si>
    <t>NABAVA DODATNIH UDŽBENIKA ZA UČENIKE OSNOVNIH I SREDNJIH ŠKOLA  GRADA ZAGREBA - NAKLADNIK ELEMENT D.O.O.</t>
  </si>
  <si>
    <t>NABAVA DODATNIH UDŽBENIKA ZA UČENIKE OSNOVNIH I SREDNJIH ŠKOLA GRADA ZAGREBA -NAKLADNIK ŠKOLSKA KNJIGA D.D.</t>
  </si>
  <si>
    <t>NABAVA DODATNIH UDŽBENIKA ZA UČENIKE OSNOVNIH I SREDNJIH ŠKOLA GRADA ZAGREBA -NAKLADNIK ALFA D.D. ZA IZDAVAČKE, GRAFIČKE I TRGOVAČKE POSLOVE</t>
  </si>
  <si>
    <t>NABAVA DODATNIH UDŽBENIKA ZA UČENIKE OSNOVNIH I SREDNJIH ŠKOLA GRADA ZAGREBA -NAKLADNIK KLETT VERLAG D.O.O.</t>
  </si>
  <si>
    <t>NABAVA DODATNIH UDŽBENIKA ZA UČENIKE OSNOVNIH I SREDNJIH ŠKOLA GRADA ZAGREBA - NAKLADNIK V.B.Z. D.O.O.</t>
  </si>
  <si>
    <t>NABAVA DODATNIH UDŽBENIKA ZA UČENIKE OSNOVNIH I SREDNJIH ŠKOLA GRADA ZAGREBA -NAKLADNIK ALKA SCRIPT D.O.O.</t>
  </si>
  <si>
    <t>NABAVA DODATNIH UDŽBENIKA ZA UČENIKE OSNOVNIH I SREDNJIH ŠKOLA  GRADA ZAGREBA - NAKLADNIK NEODIDACTA D.O.O.</t>
  </si>
  <si>
    <t>RADOVI NA KATODNOJ ZAŠTITI PLINSKE MREŽE GRADSKE PLINARE ZAGREB D.O.O.</t>
  </si>
  <si>
    <t>NABAVA DODATNIH UDŽBENIKA ZA UČENIKE OSNOVNIH I SREDNJIH ŠKOLA GRADA ZAGREBA - NAKLADNIK UDŽBENIK.HR D.O.O.</t>
  </si>
  <si>
    <t>KRATKOROČNI KUNSKI REVOLVING KREDIT ZA GRADSKU PLINARU ZAGREB - OPSKRBA D.O.O.</t>
  </si>
  <si>
    <t>Naziv ponuditelja s kojim je sklopljen ugovor o javnoj nabavi, naziv gospodarskog subjekta ili gospodarskih subjekata s kojima je sklopljen okvirni sporazum, naziv ponuditelja s kojim je sklopljen ugovor o javnoj nabavi na temelju okvirnog sporazuma, naziv podizvoditelja ako postoje</t>
  </si>
  <si>
    <t>(za period od 01.01.2012. do 20.04.2015.)</t>
  </si>
  <si>
    <t>REGISTAR UGOVORA O JAVNOJ NABAVI I OKVIRNIH SPORAZUMA</t>
  </si>
  <si>
    <t>6.761.511,71 Ukupno isplaćeni iznos se odnosi na ugovore o zastupanju Grada Zagreba brojeva registracije 553/2012, 554/2012, 556/2012, 557/2012, 559/2012, 561/2012, 562/2012, 563/2012, 565/2012, 568/2012, 
od 574/2012 do 589/2012,
od 591/2012 do 604/2012</t>
  </si>
  <si>
    <t>Ime</t>
  </si>
  <si>
    <t>Registar ugovora i okvirnih sporazuma</t>
  </si>
  <si>
    <t>Kratko ime</t>
  </si>
  <si>
    <t>registar</t>
  </si>
  <si>
    <t>Grupa</t>
  </si>
  <si>
    <t>Javna nabava</t>
  </si>
  <si>
    <t>Naziv</t>
  </si>
  <si>
    <t>Opis</t>
  </si>
  <si>
    <t>Ključne riječi</t>
  </si>
  <si>
    <t>javna nabbava</t>
  </si>
  <si>
    <t>Objavio</t>
  </si>
  <si>
    <t>Grad Zagreb</t>
  </si>
  <si>
    <t>Ured</t>
  </si>
  <si>
    <t>Ured za javnu nabavu</t>
  </si>
  <si>
    <t>Datum</t>
  </si>
  <si>
    <t>Jezik</t>
  </si>
  <si>
    <t>Hrvatski</t>
  </si>
  <si>
    <t>Licenca</t>
  </si>
  <si>
    <t>CC</t>
  </si>
  <si>
    <t>Napomena:</t>
  </si>
  <si>
    <t>Registar ugovora i okvirnih sporazuma za razdoblje od 01.01.2012. do 20.04.2015.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</si>
</sst>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3F3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18" fillId="34" borderId="10" xfId="0" applyFont="1" applyFill="1" applyBorder="1" applyAlignment="1">
      <alignment horizontal="center" vertical="center" wrapText="1"/>
    </xf>
    <xf numFmtId="0" fontId="0" fillId="34" borderId="10" xfId="0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35" borderId="10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 vertical="center" wrapText="1"/>
    </xf>
    <xf numFmtId="0" fontId="18" fillId="34" borderId="15" xfId="0" applyFont="1" applyFill="1" applyBorder="1" applyAlignment="1">
      <alignment horizontal="center" vertical="center" wrapText="1"/>
    </xf>
    <xf numFmtId="0" fontId="18" fillId="34" borderId="14" xfId="0" applyFont="1" applyFill="1" applyBorder="1" applyAlignment="1">
      <alignment horizontal="center" vertical="center" wrapText="1"/>
    </xf>
    <xf numFmtId="0" fontId="18" fillId="34" borderId="13" xfId="0" applyFont="1" applyFill="1" applyBorder="1" applyAlignment="1">
      <alignment horizontal="center" vertical="center" wrapText="1"/>
    </xf>
    <xf numFmtId="0" fontId="18" fillId="34" borderId="1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29"/>
  <sheetViews>
    <sheetView showGridLines="0" tabSelected="1" view="pageBreakPreview" zoomScale="70" zoomScaleNormal="85" zoomScaleSheetLayoutView="70" workbookViewId="0">
      <pane xSplit="2" ySplit="5" topLeftCell="C621" activePane="bottomRight" state="frozen"/>
      <selection activeCell="G6" sqref="G6:G2640"/>
      <selection pane="topRight" activeCell="G6" sqref="G6:G2640"/>
      <selection pane="bottomLeft" activeCell="G6" sqref="G6:G2640"/>
      <selection pane="bottomRight" activeCell="G583" sqref="G583"/>
    </sheetView>
  </sheetViews>
  <sheetFormatPr defaultRowHeight="15" x14ac:dyDescent="0.25"/>
  <cols>
    <col min="1" max="1" width="11.7109375" customWidth="1"/>
    <col min="2" max="2" width="40.140625" hidden="1" customWidth="1"/>
    <col min="3" max="3" width="63" customWidth="1"/>
    <col min="4" max="4" width="25.7109375" customWidth="1"/>
    <col min="5" max="5" width="24.5703125" customWidth="1"/>
    <col min="6" max="6" width="25.42578125" customWidth="1"/>
    <col min="7" max="7" width="29.28515625" customWidth="1"/>
    <col min="8" max="8" width="42.42578125" customWidth="1"/>
    <col min="9" max="9" width="17.85546875" customWidth="1"/>
    <col min="10" max="10" width="30.28515625" customWidth="1"/>
    <col min="11" max="11" width="27.5703125" customWidth="1"/>
  </cols>
  <sheetData>
    <row r="1" spans="1:11" s="5" customFormat="1" ht="15.75" x14ac:dyDescent="0.25">
      <c r="A1" s="12" t="s">
        <v>2903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s="5" customFormat="1" ht="15.75" x14ac:dyDescent="0.25">
      <c r="A2" s="12" t="s">
        <v>2902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4" spans="1:11" s="5" customFormat="1" ht="126" x14ac:dyDescent="0.25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2901</v>
      </c>
      <c r="I4" s="6" t="s">
        <v>7</v>
      </c>
      <c r="J4" s="6" t="s">
        <v>8</v>
      </c>
      <c r="K4" s="6" t="s">
        <v>9</v>
      </c>
    </row>
    <row r="5" spans="1:11" x14ac:dyDescent="0.25">
      <c r="A5" s="4">
        <v>1</v>
      </c>
      <c r="B5" s="4" t="s">
        <v>10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4">
        <v>10</v>
      </c>
    </row>
    <row r="6" spans="1:11" ht="63" x14ac:dyDescent="0.25">
      <c r="A6" s="1" t="str">
        <f>"1/2012"</f>
        <v>1/2012</v>
      </c>
      <c r="B6" s="1" t="s">
        <v>11</v>
      </c>
      <c r="C6" s="1" t="s">
        <v>1384</v>
      </c>
      <c r="D6" s="1" t="str">
        <f>CONCATENATE("EM-502-012/2011",CHAR(10),"N-32-M-135236-090911 od 12.09.2011.")</f>
        <v>EM-502-012/2011
N-32-M-135236-090911 od 12.09.2011.</v>
      </c>
      <c r="E6" s="1" t="s">
        <v>12</v>
      </c>
      <c r="F6" s="1" t="str">
        <f>"155.019,35"</f>
        <v>155.019,35</v>
      </c>
      <c r="G6" s="1" t="str">
        <f>CONCATENATE("10.01.2012.",CHAR(10),"30 dana, računajući od dana potpisa I. Aneksa")</f>
        <v>10.01.2012.
30 dana, računajući od dana potpisa I. Aneksa</v>
      </c>
      <c r="H6" s="1" t="str">
        <f>CONCATENATE("M. SOLDO D.O.O., ZAGREB")</f>
        <v>M. SOLDO D.O.O., ZAGREB</v>
      </c>
      <c r="I6" s="1" t="s">
        <v>13</v>
      </c>
      <c r="J6" s="1" t="str">
        <f>CONCATENATE(SUBSTITUTE(SUBSTITUTE(SUBSTITUTE("193,774.19",".","-"),",","."),"-",","),CHAR(10),"konačno plaćeni iznos veći je od ugovorenog radi promjene stope PDV-a")</f>
        <v>193.774,19
konačno plaćeni iznos veći je od ugovorenog radi promjene stope PDV-a</v>
      </c>
      <c r="K6" s="2"/>
    </row>
    <row r="7" spans="1:11" ht="141.75" x14ac:dyDescent="0.25">
      <c r="A7" s="1" t="str">
        <f>"2/2012"</f>
        <v>2/2012</v>
      </c>
      <c r="B7" s="1" t="s">
        <v>14</v>
      </c>
      <c r="C7" s="1" t="s">
        <v>1385</v>
      </c>
      <c r="D7" s="1" t="str">
        <f>CONCATENATE("EV-807-003/2011",CHAR(10),"N-02-V-145383-241111 od 25.11.2011.")</f>
        <v>EV-807-003/2011
N-02-V-145383-241111 od 25.11.2011.</v>
      </c>
      <c r="E7" s="1" t="s">
        <v>15</v>
      </c>
      <c r="F7" s="1" t="str">
        <f>"744.000,00"</f>
        <v>744.000,00</v>
      </c>
      <c r="G7" s="1" t="str">
        <f>CONCATENATE("10.01.2012.",CHAR(10),"60 dana od dana obostranog potpisa Ugovora")</f>
        <v>10.01.2012.
60 dana od dana obostranog potpisa Ugovora</v>
      </c>
      <c r="H7" s="1" t="str">
        <f>CONCATENATE("AUDIT D.O.O., ZAGREB")</f>
        <v>AUDIT D.O.O., ZAGREB</v>
      </c>
      <c r="I7" s="1" t="s">
        <v>16</v>
      </c>
      <c r="J7" s="1" t="str">
        <f>CONCATENATE(SUBSTITUTE(SUBSTITUTE(SUBSTITUTE("930,000.00",".","-"),",","."),"-",","),CHAR(10),"konačno plaćeni iznos veći je od ugovorenog radi promjene stope PDV-a")</f>
        <v>930.000,00
konačno plaćeni iznos veći je od ugovorenog radi promjene stope PDV-a</v>
      </c>
      <c r="K7" s="2"/>
    </row>
    <row r="8" spans="1:11" ht="63" x14ac:dyDescent="0.25">
      <c r="A8" s="1" t="str">
        <f>"3/2012"</f>
        <v>3/2012</v>
      </c>
      <c r="B8" s="1" t="s">
        <v>14</v>
      </c>
      <c r="C8" s="1" t="s">
        <v>1386</v>
      </c>
      <c r="D8" s="1" t="str">
        <f>CONCATENATE("EM-682-009/2011",CHAR(10),"N-16-M-141388-271011 od 28.10.2011.")</f>
        <v>EM-682-009/2011
N-16-M-141388-271011 od 28.10.2011.</v>
      </c>
      <c r="E8" s="1" t="s">
        <v>15</v>
      </c>
      <c r="F8" s="1" t="str">
        <f>"199.972,00"</f>
        <v>199.972,00</v>
      </c>
      <c r="G8" s="1" t="str">
        <f>CONCATENATE("11.01.2012.",CHAR(10),"20 dana")</f>
        <v>11.01.2012.
20 dana</v>
      </c>
      <c r="H8" s="1" t="str">
        <f>CONCATENATE("SLIV OPREMA D.O.O., ZAGREB")</f>
        <v>SLIV OPREMA D.O.O., ZAGREB</v>
      </c>
      <c r="I8" s="1" t="s">
        <v>17</v>
      </c>
      <c r="J8" s="1" t="str">
        <f>CONCATENATE(SUBSTITUTE(SUBSTITUTE(SUBSTITUTE("249,770.00",".","-"),",","."),"-",","),CHAR(10),"konačno plaćeni iznos veći je od ugovorenog radi promjene stope PDV-a")</f>
        <v>249.770,00
konačno plaćeni iznos veći je od ugovorenog radi promjene stope PDV-a</v>
      </c>
      <c r="K8" s="2"/>
    </row>
    <row r="9" spans="1:11" ht="47.25" x14ac:dyDescent="0.25">
      <c r="A9" s="1" t="str">
        <f>"4/2012"</f>
        <v>4/2012</v>
      </c>
      <c r="B9" s="1" t="s">
        <v>14</v>
      </c>
      <c r="C9" s="1" t="s">
        <v>1387</v>
      </c>
      <c r="D9" s="1" t="str">
        <f>CONCATENATE("EM-505-009/2011",CHAR(10),"N-16-M-132320-120811 od 16.08.2011.")</f>
        <v>EM-505-009/2011
N-16-M-132320-120811 od 16.08.2011.</v>
      </c>
      <c r="E9" s="1" t="s">
        <v>15</v>
      </c>
      <c r="F9" s="1" t="str">
        <f>"183.000,00"</f>
        <v>183.000,00</v>
      </c>
      <c r="G9" s="1" t="str">
        <f>CONCATENATE("11.01.2012.",CHAR(10),"do 30.06.2012.")</f>
        <v>11.01.2012.
do 30.06.2012.</v>
      </c>
      <c r="H9" s="1" t="str">
        <f>CONCATENATE("ML ITINERIS D.O.O., SESVETE")</f>
        <v>ML ITINERIS D.O.O., SESVETE</v>
      </c>
      <c r="I9" s="1" t="s">
        <v>18</v>
      </c>
      <c r="J9" s="1" t="str">
        <f>SUBSTITUTE(SUBSTITUTE(SUBSTITUTE("108,375.85",".","-"),",","."),"-",",")</f>
        <v>108.375,85</v>
      </c>
      <c r="K9" s="2"/>
    </row>
    <row r="10" spans="1:11" ht="63" x14ac:dyDescent="0.25">
      <c r="A10" s="1" t="str">
        <f>"5/2012"</f>
        <v>5/2012</v>
      </c>
      <c r="B10" s="1" t="s">
        <v>14</v>
      </c>
      <c r="C10" s="1" t="s">
        <v>1388</v>
      </c>
      <c r="D10" s="1" t="str">
        <f>CONCATENATE("EV-628-012/2011",CHAR(10),"N-02-V-138591-051011 od 07.10.2011.")</f>
        <v>EV-628-012/2011
N-02-V-138591-051011 od 07.10.2011.</v>
      </c>
      <c r="E10" s="1" t="s">
        <v>15</v>
      </c>
      <c r="F10" s="1" t="str">
        <f>"599.868,00"</f>
        <v>599.868,00</v>
      </c>
      <c r="G10" s="1" t="str">
        <f>CONCATENATE("13.01.2012.",CHAR(10),"12 mjeseci od dana obostranog potpisa Ugovora")</f>
        <v>13.01.2012.
12 mjeseci od dana obostranog potpisa Ugovora</v>
      </c>
      <c r="H10" s="1" t="str">
        <f>CONCATENATE("KOM-EKO D.O.O., ZAGREB")</f>
        <v>KOM-EKO D.O.O., ZAGREB</v>
      </c>
      <c r="I10" s="1" t="s">
        <v>19</v>
      </c>
      <c r="J10" s="1" t="str">
        <f>CONCATENATE(SUBSTITUTE(SUBSTITUTE(SUBSTITUTE("749,835.00",".","-"),",","."),"-",","),CHAR(10),"konačno plaćeni iznos veći je od ugovorenog radi promjene stope PDV-a")</f>
        <v>749.835,00
konačno plaćeni iznos veći je od ugovorenog radi promjene stope PDV-a</v>
      </c>
      <c r="K10" s="2"/>
    </row>
    <row r="11" spans="1:11" ht="47.25" x14ac:dyDescent="0.25">
      <c r="A11" s="1" t="str">
        <f>"6/2012"</f>
        <v>6/2012</v>
      </c>
      <c r="B11" s="1" t="s">
        <v>14</v>
      </c>
      <c r="C11" s="1" t="s">
        <v>1389</v>
      </c>
      <c r="D11" s="1" t="str">
        <f>CONCATENATE("EV-465-012/2011",CHAR(10),"N-02-V-135102-080911 od 09.09.2011.")</f>
        <v>EV-465-012/2011
N-02-V-135102-080911 od 09.09.2011.</v>
      </c>
      <c r="E11" s="1" t="s">
        <v>15</v>
      </c>
      <c r="F11" s="1" t="str">
        <f>"192.217,02"</f>
        <v>192.217,02</v>
      </c>
      <c r="G11" s="1" t="str">
        <f>CONCATENATE("13.01.2012.",CHAR(10),"60 dana od dana uvođenja u posao")</f>
        <v>13.01.2012.
60 dana od dana uvođenja u posao</v>
      </c>
      <c r="H11" s="1" t="str">
        <f>CONCATENATE("INSTAL-PROM D.O.O., ZAGREB")</f>
        <v>INSTAL-PROM D.O.O., ZAGREB</v>
      </c>
      <c r="I11" s="1" t="s">
        <v>20</v>
      </c>
      <c r="J11" s="1" t="str">
        <f>SUBSTITUTE(SUBSTITUTE(SUBSTITUTE("211,569.15",".","-"),",","."),"-",",")</f>
        <v>211.569,15</v>
      </c>
      <c r="K11" s="2"/>
    </row>
    <row r="12" spans="1:11" ht="63" x14ac:dyDescent="0.25">
      <c r="A12" s="1" t="str">
        <f>"7/2012"</f>
        <v>7/2012</v>
      </c>
      <c r="B12" s="1" t="s">
        <v>14</v>
      </c>
      <c r="C12" s="1" t="s">
        <v>1390</v>
      </c>
      <c r="D12" s="1" t="str">
        <f>CONCATENATE("EM-687-022/2011",CHAR(10),"N-16-M-140907-241011 od 25.10.2011.")</f>
        <v>EM-687-022/2011
N-16-M-140907-241011 od 25.10.2011.</v>
      </c>
      <c r="E12" s="1" t="s">
        <v>15</v>
      </c>
      <c r="F12" s="1" t="str">
        <f>"188.500,00"</f>
        <v>188.500,00</v>
      </c>
      <c r="G12" s="1" t="str">
        <f>CONCATENATE("13.01.2012.",CHAR(10),"60 dana, računajući od dana obostranog potpisa Ugovora")</f>
        <v>13.01.2012.
60 dana, računajući od dana obostranog potpisa Ugovora</v>
      </c>
      <c r="H12" s="1" t="str">
        <f>CONCATENATE("MAŠINOPROJEKT D.O.O., ZAGREB")</f>
        <v>MAŠINOPROJEKT D.O.O., ZAGREB</v>
      </c>
      <c r="I12" s="1" t="s">
        <v>21</v>
      </c>
      <c r="J12" s="1" t="str">
        <f>CONCATENATE(SUBSTITUTE(SUBSTITUTE(SUBSTITUTE("235,635.00",".","-"),",","."),"-",","),CHAR(10),"konačno plaćeni iznos veći je od ugovorenog radi promjene stope PDV-a")</f>
        <v>235.635,00
konačno plaćeni iznos veći je od ugovorenog radi promjene stope PDV-a</v>
      </c>
      <c r="K12" s="2"/>
    </row>
    <row r="13" spans="1:11" ht="63" x14ac:dyDescent="0.25">
      <c r="A13" s="1" t="str">
        <f>"8/2012"</f>
        <v>8/2012</v>
      </c>
      <c r="B13" s="1" t="s">
        <v>14</v>
      </c>
      <c r="C13" s="1" t="s">
        <v>1391</v>
      </c>
      <c r="D13" s="1" t="str">
        <f>CONCATENATE("EM-436-012/2011",CHAR(10),"N-16-M-141509-271011 od 28.10.2011.")</f>
        <v>EM-436-012/2011
N-16-M-141509-271011 od 28.10.2011.</v>
      </c>
      <c r="E13" s="1" t="s">
        <v>15</v>
      </c>
      <c r="F13" s="1" t="str">
        <f>"39.600,00"</f>
        <v>39.600,00</v>
      </c>
      <c r="G13" s="1" t="str">
        <f>CONCATENATE("13.01.2012.",CHAR(10),"90 dana od dana uvođenja u posao, sukl.dinamici izvođenja radova")</f>
        <v>13.01.2012.
90 dana od dana uvođenja u posao, sukl.dinamici izvođenja radova</v>
      </c>
      <c r="H13" s="1" t="str">
        <f>CONCATENATE("GEOKON - ZAGREB D.D., ZAGREB")</f>
        <v>GEOKON - ZAGREB D.D., ZAGREB</v>
      </c>
      <c r="I13" s="2"/>
      <c r="J13" s="1"/>
      <c r="K13" s="2"/>
    </row>
    <row r="14" spans="1:11" ht="47.25" x14ac:dyDescent="0.25">
      <c r="A14" s="1" t="str">
        <f>"9/2012"</f>
        <v>9/2012</v>
      </c>
      <c r="B14" s="1" t="s">
        <v>14</v>
      </c>
      <c r="C14" s="1" t="s">
        <v>1392</v>
      </c>
      <c r="D14" s="1" t="str">
        <f>CONCATENATE("EM-686-022/2011",CHAR(10),"N-16-M-141251-261011 od 27.10.2011.")</f>
        <v>EM-686-022/2011
N-16-M-141251-261011 od 27.10.2011.</v>
      </c>
      <c r="E14" s="1" t="s">
        <v>15</v>
      </c>
      <c r="F14" s="1" t="str">
        <f>"200.000,00"</f>
        <v>200.000,00</v>
      </c>
      <c r="G14" s="1" t="str">
        <f>CONCATENATE("13.01.2012.",CHAR(10),"15 mjeseci, računajući od dana uvođenja u posao")</f>
        <v>13.01.2012.
15 mjeseci, računajući od dana uvođenja u posao</v>
      </c>
      <c r="H14" s="1" t="str">
        <f>CONCATENATE("NAVA D.O.O., ZAGREB")</f>
        <v>NAVA D.O.O., ZAGREB</v>
      </c>
      <c r="I14" s="1" t="s">
        <v>22</v>
      </c>
      <c r="J14" s="1" t="str">
        <f>SUBSTITUTE(SUBSTITUTE(SUBSTITUTE("210,000.00",".","-"),",","."),"-",",")</f>
        <v>210.000,00</v>
      </c>
      <c r="K14" s="2"/>
    </row>
    <row r="15" spans="1:11" ht="63" x14ac:dyDescent="0.25">
      <c r="A15" s="1" t="str">
        <f>"10/2012"</f>
        <v>10/2012</v>
      </c>
      <c r="B15" s="1" t="s">
        <v>14</v>
      </c>
      <c r="C15" s="1" t="s">
        <v>1393</v>
      </c>
      <c r="D15" s="1" t="str">
        <f>CONCATENATE("EM-659-012/2011",CHAR(10),"N-16-M-141145-251011 od 26.10.2011.")</f>
        <v>EM-659-012/2011
N-16-M-141145-251011 od 26.10.2011.</v>
      </c>
      <c r="E15" s="1" t="s">
        <v>15</v>
      </c>
      <c r="F15" s="1" t="str">
        <f>"74.266,00"</f>
        <v>74.266,00</v>
      </c>
      <c r="G15" s="1" t="str">
        <f>CONCATENATE("16.01.2012.",CHAR(10),"30 dana, računajući od dana uvođenja u posao")</f>
        <v>16.01.2012.
30 dana, računajući od dana uvođenja u posao</v>
      </c>
      <c r="H15" s="1" t="str">
        <f>CONCATENATE("ELEKTROCENTAR PETEK D.O.O., IVANIĆ-GRAD")</f>
        <v>ELEKTROCENTAR PETEK D.O.O., IVANIĆ-GRAD</v>
      </c>
      <c r="I15" s="1" t="s">
        <v>23</v>
      </c>
      <c r="J15" s="1" t="str">
        <f>CONCATENATE(SUBSTITUTE(SUBSTITUTE(SUBSTITUTE("91,525.50",".","-"),",","."),"-",","),CHAR(10),"konačno plaćeni iznos veći je od ugovorenog radi promjene stope PDV-a")</f>
        <v>91.525,50
konačno plaćeni iznos veći je od ugovorenog radi promjene stope PDV-a</v>
      </c>
      <c r="K15" s="2"/>
    </row>
    <row r="16" spans="1:11" ht="47.25" x14ac:dyDescent="0.25">
      <c r="A16" s="1" t="str">
        <f>"11/2012"</f>
        <v>11/2012</v>
      </c>
      <c r="B16" s="1" t="s">
        <v>14</v>
      </c>
      <c r="C16" s="1" t="s">
        <v>1394</v>
      </c>
      <c r="D16" s="1" t="str">
        <f>CONCATENATE("EM-341-012/2011",CHAR(10),"N-16-M-131513-030811 od 04.08.2011.")</f>
        <v>EM-341-012/2011
N-16-M-131513-030811 od 04.08.2011.</v>
      </c>
      <c r="E16" s="1" t="s">
        <v>15</v>
      </c>
      <c r="F16" s="1" t="str">
        <f>"139.850,45"</f>
        <v>139.850,45</v>
      </c>
      <c r="G16" s="1" t="str">
        <f>CONCATENATE("16.01.2012.",CHAR(10),"30 dana, računajući od dana uvođenja u posao")</f>
        <v>16.01.2012.
30 dana, računajući od dana uvođenja u posao</v>
      </c>
      <c r="H16" s="1" t="str">
        <f>CONCATENATE("ELEKTROCENTAR PETEK D.O.O., IVANIĆ-GRAD")</f>
        <v>ELEKTROCENTAR PETEK D.O.O., IVANIĆ-GRAD</v>
      </c>
      <c r="I16" s="2"/>
      <c r="J16" s="1"/>
      <c r="K16" s="2"/>
    </row>
    <row r="17" spans="1:11" ht="78.75" x14ac:dyDescent="0.25">
      <c r="A17" s="1" t="str">
        <f>"12/2012"</f>
        <v>12/2012</v>
      </c>
      <c r="B17" s="1" t="s">
        <v>14</v>
      </c>
      <c r="C17" s="1" t="s">
        <v>1395</v>
      </c>
      <c r="D17" s="1" t="str">
        <f>CONCATENATE("EM-669-012/2011",CHAR(10),"N-16-M-141717-281011 od 31.10.2011.")</f>
        <v>EM-669-012/2011
N-16-M-141717-281011 od 31.10.2011.</v>
      </c>
      <c r="E17" s="1" t="s">
        <v>15</v>
      </c>
      <c r="F17" s="1" t="str">
        <f>"61.441,10"</f>
        <v>61.441,10</v>
      </c>
      <c r="G17" s="1" t="str">
        <f>CONCATENATE("16.01.2012.",CHAR(10),"prema dinamici gradnje prometnice od dana obostranog potpisa ugovora, odn. uvođenja izvodača u posao")</f>
        <v>16.01.2012.
prema dinamici gradnje prometnice od dana obostranog potpisa ugovora, odn. uvođenja izvodača u posao</v>
      </c>
      <c r="H17" s="1" t="str">
        <f>CONCATENATE("ELEKTROCENTAR PETEK D.O.O., IVANIĆ-GRAD")</f>
        <v>ELEKTROCENTAR PETEK D.O.O., IVANIĆ-GRAD</v>
      </c>
      <c r="I17" s="2"/>
      <c r="J17" s="1"/>
      <c r="K17" s="2"/>
    </row>
    <row r="18" spans="1:11" ht="63" x14ac:dyDescent="0.25">
      <c r="A18" s="1" t="str">
        <f>"13/2012"</f>
        <v>13/2012</v>
      </c>
      <c r="B18" s="1" t="s">
        <v>14</v>
      </c>
      <c r="C18" s="1" t="s">
        <v>1396</v>
      </c>
      <c r="D18" s="1" t="str">
        <f>CONCATENATE("EM-670-012/2011",CHAR(10),"N-16-M-141335-261011 od 27.10.2011.")</f>
        <v>EM-670-012/2011
N-16-M-141335-261011 od 27.10.2011.</v>
      </c>
      <c r="E18" s="1" t="s">
        <v>15</v>
      </c>
      <c r="F18" s="1" t="str">
        <f>"216.787,75"</f>
        <v>216.787,75</v>
      </c>
      <c r="G18" s="1" t="str">
        <f>CONCATENATE("16.01.2012.",CHAR(10),"30 dana od dana uvođenja u posao")</f>
        <v>16.01.2012.
30 dana od dana uvođenja u posao</v>
      </c>
      <c r="H18" s="1" t="str">
        <f>CONCATENATE("ELEKTROCENTAR PETEK D.O.O., IVANIĆ-GRAD")</f>
        <v>ELEKTROCENTAR PETEK D.O.O., IVANIĆ-GRAD</v>
      </c>
      <c r="I18" s="1" t="s">
        <v>24</v>
      </c>
      <c r="J18" s="1" t="str">
        <f>CONCATENATE(SUBSTITUTE(SUBSTITUTE(SUBSTITUTE("268,307.83",".","-"),",","."),"-",","),CHAR(10),"konačno plaćeni iznos veći je od ugovorenog radi promjene stopa PDV-a")</f>
        <v>268.307,83
konačno plaćeni iznos veći je od ugovorenog radi promjene stopa PDV-a</v>
      </c>
      <c r="K18" s="2"/>
    </row>
    <row r="19" spans="1:11" ht="63" x14ac:dyDescent="0.25">
      <c r="A19" s="1" t="str">
        <f>"14/2012"</f>
        <v>14/2012</v>
      </c>
      <c r="B19" s="1" t="s">
        <v>14</v>
      </c>
      <c r="C19" s="1" t="s">
        <v>1397</v>
      </c>
      <c r="D19" s="1" t="str">
        <f>CONCATENATE("EV-647-012/2011",CHAR(10),"N-02-V-138484-051011 od 06.10.2011.")</f>
        <v>EV-647-012/2011
N-02-V-138484-051011 od 06.10.2011.</v>
      </c>
      <c r="E19" s="1" t="s">
        <v>15</v>
      </c>
      <c r="F19" s="1" t="str">
        <f>"621.813,40"</f>
        <v>621.813,40</v>
      </c>
      <c r="G19" s="1" t="str">
        <f>CONCATENATE("16.01.2012.",CHAR(10),"12 mjeseci od dana uvođenja u posao")</f>
        <v>16.01.2012.
12 mjeseci od dana uvođenja u posao</v>
      </c>
      <c r="H19" s="1" t="str">
        <f>CONCATENATE("ELICOM D.O.O., ZAGREB")</f>
        <v>ELICOM D.O.O., ZAGREB</v>
      </c>
      <c r="I19" s="1" t="s">
        <v>25</v>
      </c>
      <c r="J19" s="1" t="str">
        <f>CONCATENATE(SUBSTITUTE(SUBSTITUTE(SUBSTITUTE("775,106.66",".","-"),",","."),"-",","),CHAR(10),"konačno plaćeni iznos veći je od ugovorenog radi promjene stope PDV-a")</f>
        <v>775.106,66
konačno plaćeni iznos veći je od ugovorenog radi promjene stope PDV-a</v>
      </c>
      <c r="K19" s="2"/>
    </row>
    <row r="20" spans="1:11" ht="47.25" x14ac:dyDescent="0.25">
      <c r="A20" s="1" t="str">
        <f>"15/2012"</f>
        <v>15/2012</v>
      </c>
      <c r="B20" s="1" t="s">
        <v>26</v>
      </c>
      <c r="C20" s="1" t="s">
        <v>1398</v>
      </c>
      <c r="D20" s="1" t="str">
        <f>"EV-309-020/2011"</f>
        <v>EV-309-020/2011</v>
      </c>
      <c r="E20" s="1" t="s">
        <v>27</v>
      </c>
      <c r="F20" s="1" t="str">
        <f>"641.760,00"</f>
        <v>641.760,00</v>
      </c>
      <c r="G20" s="1" t="str">
        <f>CONCATENATE("17.01.2012.",CHAR(10),"tijekom 12 mjeseci")</f>
        <v>17.01.2012.
tijekom 12 mjeseci</v>
      </c>
      <c r="H20" s="1" t="str">
        <f>CONCATENATE("PETROL D.O.O., ZAGREB")</f>
        <v>PETROL D.O.O., ZAGREB</v>
      </c>
      <c r="I20" s="1" t="s">
        <v>28</v>
      </c>
      <c r="J20" s="1" t="str">
        <f>SUBSTITUTE(SUBSTITUTE(SUBSTITUTE("708,106.45",".","-"),",","."),"-",",")</f>
        <v>708.106,45</v>
      </c>
      <c r="K20" s="2"/>
    </row>
    <row r="21" spans="1:11" ht="63" x14ac:dyDescent="0.25">
      <c r="A21" s="1" t="str">
        <f>"16/2012"</f>
        <v>16/2012</v>
      </c>
      <c r="B21" s="1" t="s">
        <v>14</v>
      </c>
      <c r="C21" s="1" t="s">
        <v>1399</v>
      </c>
      <c r="D21" s="1" t="str">
        <f>CONCATENATE("EM-585-020/2011",CHAR(10),"N-16-M-144134-171111 od 18.11.2011.")</f>
        <v>EM-585-020/2011
N-16-M-144134-171111 od 18.11.2011.</v>
      </c>
      <c r="E21" s="1" t="s">
        <v>15</v>
      </c>
      <c r="F21" s="1" t="str">
        <f>"299.520,00"</f>
        <v>299.520,00</v>
      </c>
      <c r="G21" s="1" t="str">
        <f>CONCATENATE("17.01.2012.",CHAR(10),"60 dana od dana obostranog potpisa Ugovora")</f>
        <v>17.01.2012.
60 dana od dana obostranog potpisa Ugovora</v>
      </c>
      <c r="H21" s="1" t="str">
        <f>CONCATENATE("OMEGA SOFTWARE D.O.O., ZAGREB-SLOBOŠTINA")</f>
        <v>OMEGA SOFTWARE D.O.O., ZAGREB-SLOBOŠTINA</v>
      </c>
      <c r="I21" s="1" t="s">
        <v>29</v>
      </c>
      <c r="J21" s="1" t="str">
        <f>CONCATENATE(SUBSTITUTE(SUBSTITUTE(SUBSTITUTE("371,404.80",".","-"),",","."),"-",","),CHAR(10),"konačno plaćeni iznos veći je od ugovorenog radi promjene stope PDV-a")</f>
        <v>371.404,80
konačno plaćeni iznos veći je od ugovorenog radi promjene stope PDV-a</v>
      </c>
      <c r="K21" s="2"/>
    </row>
    <row r="22" spans="1:11" ht="63" x14ac:dyDescent="0.25">
      <c r="A22" s="1" t="str">
        <f>"17/2012"</f>
        <v>17/2012</v>
      </c>
      <c r="B22" s="1" t="s">
        <v>14</v>
      </c>
      <c r="C22" s="1" t="s">
        <v>1400</v>
      </c>
      <c r="D22" s="1" t="str">
        <f>CONCATENATE("EM-726-005/2011",CHAR(10),"N-16-M-144154-171111 od 18.11.2011.")</f>
        <v>EM-726-005/2011
N-16-M-144154-171111 od 18.11.2011.</v>
      </c>
      <c r="E22" s="1" t="s">
        <v>15</v>
      </c>
      <c r="F22" s="1" t="str">
        <f>"120.005,24"</f>
        <v>120.005,24</v>
      </c>
      <c r="G22" s="1" t="str">
        <f>CONCATENATE("17.01.2012.",CHAR(10),"30 dana, računajući od dana uvođenja u posao")</f>
        <v>17.01.2012.
30 dana, računajući od dana uvođenja u posao</v>
      </c>
      <c r="H22" s="1" t="str">
        <f>CONCATENATE("GRAĐEVINARSTVO VL. MIJO STIPIĆ, SVETI IVAN ZELINA")</f>
        <v>GRAĐEVINARSTVO VL. MIJO STIPIĆ, SVETI IVAN ZELINA</v>
      </c>
      <c r="I22" s="1" t="s">
        <v>30</v>
      </c>
      <c r="J22" s="1" t="str">
        <f>CONCATENATE(SUBSTITUTE(SUBSTITUTE(SUBSTITUTE("150,006.55",".","-"),",","."),"-",","),CHAR(10),"konačno plaćeni iznos veći je od ugovorenog radi promjene stope PDV-a")</f>
        <v>150.006,55
konačno plaćeni iznos veći je od ugovorenog radi promjene stope PDV-a</v>
      </c>
      <c r="K22" s="2"/>
    </row>
    <row r="23" spans="1:11" ht="63" x14ac:dyDescent="0.25">
      <c r="A23" s="1" t="str">
        <f>"18/2012"</f>
        <v>18/2012</v>
      </c>
      <c r="B23" s="1" t="s">
        <v>14</v>
      </c>
      <c r="C23" s="1" t="s">
        <v>1401</v>
      </c>
      <c r="D23" s="1" t="str">
        <f>CONCATENATE("EM-679-009/2011",CHAR(10),"N-16-M-141111-251011 od 26.10.2011.")</f>
        <v>EM-679-009/2011
N-16-M-141111-251011 od 26.10.2011.</v>
      </c>
      <c r="E23" s="1" t="s">
        <v>15</v>
      </c>
      <c r="F23" s="1" t="str">
        <f>"56.893,00"</f>
        <v>56.893,00</v>
      </c>
      <c r="G23" s="1" t="str">
        <f>CONCATENATE("17.01.2012.",CHAR(10),"60 dana, računajući od dana uvođenja u posao")</f>
        <v>17.01.2012.
60 dana, računajući od dana uvođenja u posao</v>
      </c>
      <c r="H23" s="1" t="str">
        <f>CONCATENATE("TELEKTRA D.O.O., SESVETE")</f>
        <v>TELEKTRA D.O.O., SESVETE</v>
      </c>
      <c r="I23" s="1" t="s">
        <v>31</v>
      </c>
      <c r="J23" s="1" t="str">
        <f>CONCATENATE(SUBSTITUTE(SUBSTITUTE(SUBSTITUTE("71,030.13",".","-"),",","."),"-",","),CHAR(10),"konačno plaćeni iznos veći je od ugovorenog radi promjene stope PDV-a")</f>
        <v>71.030,13
konačno plaćeni iznos veći je od ugovorenog radi promjene stope PDV-a</v>
      </c>
      <c r="K23" s="2"/>
    </row>
    <row r="24" spans="1:11" ht="63" x14ac:dyDescent="0.25">
      <c r="A24" s="1" t="str">
        <f>"19/2012"</f>
        <v>19/2012</v>
      </c>
      <c r="B24" s="1" t="s">
        <v>14</v>
      </c>
      <c r="C24" s="1" t="s">
        <v>1402</v>
      </c>
      <c r="D24" s="1" t="str">
        <f>CONCATENATE("EV-89-012/2011",CHAR(10),"N-02-V-117228-270411 od 28.04.2011.")</f>
        <v>EV-89-012/2011
N-02-V-117228-270411 od 28.04.2011.</v>
      </c>
      <c r="E24" s="1" t="s">
        <v>15</v>
      </c>
      <c r="F24" s="1" t="str">
        <f>"595.690,50"</f>
        <v>595.690,50</v>
      </c>
      <c r="G24" s="1" t="str">
        <f>CONCATENATE("18.01.2012.",CHAR(10),"270 dana, računajući od dana uvođenja u posao")</f>
        <v>18.01.2012.
270 dana, računajući od dana uvođenja u posao</v>
      </c>
      <c r="H24" s="1" t="str">
        <f>CONCATENATE("HEDOM D.O.O., ZAGREB")</f>
        <v>HEDOM D.O.O., ZAGREB</v>
      </c>
      <c r="I24" s="1" t="s">
        <v>32</v>
      </c>
      <c r="J24" s="1" t="str">
        <f>CONCATENATE(SUBSTITUTE(SUBSTITUTE(SUBSTITUTE("744,612.99",".","-"),",","."),"-",","),CHAR(10),"konačno plaćeni iznos veći je od ugovorenog radi promjene stope PDV-a")</f>
        <v>744.612,99
konačno plaćeni iznos veći je od ugovorenog radi promjene stope PDV-a</v>
      </c>
      <c r="K24" s="2"/>
    </row>
    <row r="25" spans="1:11" ht="63" x14ac:dyDescent="0.25">
      <c r="A25" s="1" t="str">
        <f>"20/2012"</f>
        <v>20/2012</v>
      </c>
      <c r="B25" s="1" t="s">
        <v>14</v>
      </c>
      <c r="C25" s="1" t="s">
        <v>1403</v>
      </c>
      <c r="D25" s="1" t="str">
        <f>CONCATENATE("EM-705-005/2011",CHAR(10),"N-16-M-144343-181111 od 21.11.2011.")</f>
        <v>EM-705-005/2011
N-16-M-144343-181111 od 21.11.2011.</v>
      </c>
      <c r="E25" s="1" t="s">
        <v>15</v>
      </c>
      <c r="F25" s="1" t="str">
        <f>"119.850,82"</f>
        <v>119.850,82</v>
      </c>
      <c r="G25" s="1" t="str">
        <f>CONCATENATE("18.01.2012.",CHAR(10),"20 dana, računajući od dana uvođenja u posao")</f>
        <v>18.01.2012.
20 dana, računajući od dana uvođenja u posao</v>
      </c>
      <c r="H25" s="1" t="str">
        <f>CONCATENATE("GAJANT D.O.O., ZAGREB",CHAR(10),"GEO-PRIZMA D.O.O., ZAGREB")</f>
        <v>GAJANT D.O.O., ZAGREB
GEO-PRIZMA D.O.O., ZAGREB</v>
      </c>
      <c r="I25" s="1" t="s">
        <v>33</v>
      </c>
      <c r="J25" s="1" t="str">
        <f>CONCATENATE(SUBSTITUTE(SUBSTITUTE(SUBSTITUTE("149,688.53",".","-"),",","."),"-",","),CHAR(10),"konačno plaćeni iznos veći je od ugovorenog radi promjene stope PDV-a")</f>
        <v>149.688,53
konačno plaćeni iznos veći je od ugovorenog radi promjene stope PDV-a</v>
      </c>
      <c r="K25" s="2"/>
    </row>
    <row r="26" spans="1:11" ht="47.25" x14ac:dyDescent="0.25">
      <c r="A26" s="1" t="str">
        <f>"21/2012"</f>
        <v>21/2012</v>
      </c>
      <c r="B26" s="1" t="s">
        <v>14</v>
      </c>
      <c r="C26" s="1" t="s">
        <v>1404</v>
      </c>
      <c r="D26" s="1" t="str">
        <f>CONCATENATE("EV-347-012/2011",CHAR(10),"N-02-V-131528-030811 od 04.08.2011.")</f>
        <v>EV-347-012/2011
N-02-V-131528-030811 od 04.08.2011.</v>
      </c>
      <c r="E26" s="1" t="s">
        <v>15</v>
      </c>
      <c r="F26" s="1" t="str">
        <f>"698.722,35"</f>
        <v>698.722,35</v>
      </c>
      <c r="G26" s="1" t="str">
        <f>CONCATENATE("18.01.2012.",CHAR(10),"60 dana od dana uvođenja u posao")</f>
        <v>18.01.2012.
60 dana od dana uvođenja u posao</v>
      </c>
      <c r="H26" s="1" t="str">
        <f>CONCATENATE("ELEKTROCENTAR PETEK D.O.O., IVANIĆ-GRAD")</f>
        <v>ELEKTROCENTAR PETEK D.O.O., IVANIĆ-GRAD</v>
      </c>
      <c r="I26" s="2"/>
      <c r="J26" s="1"/>
      <c r="K26" s="2"/>
    </row>
    <row r="27" spans="1:11" ht="47.25" x14ac:dyDescent="0.25">
      <c r="A27" s="1" t="str">
        <f>"22/2012"</f>
        <v>22/2012</v>
      </c>
      <c r="B27" s="1" t="s">
        <v>11</v>
      </c>
      <c r="C27" s="1" t="s">
        <v>1405</v>
      </c>
      <c r="D27" s="1" t="str">
        <f>"EM-435-012/2011"</f>
        <v>EM-435-012/2011</v>
      </c>
      <c r="E27" s="2"/>
      <c r="F27" s="1" t="str">
        <f>"0,00"</f>
        <v>0,00</v>
      </c>
      <c r="G27" s="1" t="str">
        <f>CONCATENATE("20.01.2012.",CHAR(10),"31.12.2012")</f>
        <v>20.01.2012.
31.12.2012</v>
      </c>
      <c r="H27" s="1" t="str">
        <f>CONCATENATE("JURCON PROJEKT D.O.O., ZAGREB")</f>
        <v>JURCON PROJEKT D.O.O., ZAGREB</v>
      </c>
      <c r="I27" s="2"/>
      <c r="J27" s="1"/>
      <c r="K27" s="2"/>
    </row>
    <row r="28" spans="1:11" ht="63" x14ac:dyDescent="0.25">
      <c r="A28" s="1" t="str">
        <f>"23/2012"</f>
        <v>23/2012</v>
      </c>
      <c r="B28" s="1" t="s">
        <v>14</v>
      </c>
      <c r="C28" s="1" t="s">
        <v>1406</v>
      </c>
      <c r="D28" s="1" t="str">
        <f>CONCATENATE("EM-727-005/2011",CHAR(10),"N-16-M-144357-181111 od 21.11.2011.")</f>
        <v>EM-727-005/2011
N-16-M-144357-181111 od 21.11.2011.</v>
      </c>
      <c r="E28" s="1" t="s">
        <v>15</v>
      </c>
      <c r="F28" s="1" t="str">
        <f>"185.145,39"</f>
        <v>185.145,39</v>
      </c>
      <c r="G28" s="1" t="str">
        <f>CONCATENATE("20.01.2012.",CHAR(10),"30 dana od dana uvođenja u posao")</f>
        <v>20.01.2012.
30 dana od dana uvođenja u posao</v>
      </c>
      <c r="H28" s="1" t="str">
        <f>CONCATENATE("AMB GRADNJA D.O.O., ZAGREB",CHAR(10),"GEO OMEGA D.O.O., ZAGREB")</f>
        <v>AMB GRADNJA D.O.O., ZAGREB
GEO OMEGA D.O.O., ZAGREB</v>
      </c>
      <c r="I28" s="1" t="s">
        <v>34</v>
      </c>
      <c r="J28" s="1" t="str">
        <f>CONCATENATE(SUBSTITUTE(SUBSTITUTE(SUBSTITUTE("231,431.73",".","-"),",","."),"-",","),CHAR(10),"konačno plaćeni iznos veći je od ugovorenog radi promjene stope PDV-a")</f>
        <v>231.431,73
konačno plaćeni iznos veći je od ugovorenog radi promjene stope PDV-a</v>
      </c>
      <c r="K28" s="2"/>
    </row>
    <row r="29" spans="1:11" ht="63" x14ac:dyDescent="0.25">
      <c r="A29" s="1" t="str">
        <f>"24/2012"</f>
        <v>24/2012</v>
      </c>
      <c r="B29" s="1" t="s">
        <v>14</v>
      </c>
      <c r="C29" s="1" t="s">
        <v>1407</v>
      </c>
      <c r="D29" s="1" t="str">
        <f>CONCATENATE("EM-772-005/2011",CHAR(10),"N-16-M-145539-251111 od 28.11.2011.")</f>
        <v>EM-772-005/2011
N-16-M-145539-251111 od 28.11.2011.</v>
      </c>
      <c r="E29" s="1" t="s">
        <v>15</v>
      </c>
      <c r="F29" s="1" t="str">
        <f>"179.643,00"</f>
        <v>179.643,00</v>
      </c>
      <c r="G29" s="1" t="str">
        <f>CONCATENATE("20.01.2012.",CHAR(10),"30 dana, računajući od dana uvođenja u posao")</f>
        <v>20.01.2012.
30 dana, računajući od dana uvođenja u posao</v>
      </c>
      <c r="H29" s="1" t="str">
        <f>CONCATENATE("I.G. INTERIJER OBRT ZA PROIZVODNJU , GRAĐEVINARSTVO I TRGOVINU VL. ILIJA GRGIĆ, RAKOV POTOK")</f>
        <v>I.G. INTERIJER OBRT ZA PROIZVODNJU , GRAĐEVINARSTVO I TRGOVINU VL. ILIJA GRGIĆ, RAKOV POTOK</v>
      </c>
      <c r="I29" s="1" t="s">
        <v>35</v>
      </c>
      <c r="J29" s="1" t="str">
        <f>CONCATENATE(SUBSTITUTE(SUBSTITUTE(SUBSTITUTE("223,199.31",".","-"),",","."),"-",","),CHAR(10),"konačno plaćeni iznos veći je od ugovorenog radi promjene stope PDV-a")</f>
        <v>223.199,31
konačno plaćeni iznos veći je od ugovorenog radi promjene stope PDV-a</v>
      </c>
      <c r="K29" s="2"/>
    </row>
    <row r="30" spans="1:11" ht="78.75" x14ac:dyDescent="0.25">
      <c r="A30" s="1" t="str">
        <f>"25/2012"</f>
        <v>25/2012</v>
      </c>
      <c r="B30" s="1" t="s">
        <v>14</v>
      </c>
      <c r="C30" s="1" t="s">
        <v>1408</v>
      </c>
      <c r="D30" s="1" t="str">
        <f>CONCATENATE("EM-661-012/2011",CHAR(10),"N-16-M-141121-261011 od 26.10.2011.")</f>
        <v>EM-661-012/2011
N-16-M-141121-261011 od 26.10.2011.</v>
      </c>
      <c r="E30" s="1" t="s">
        <v>15</v>
      </c>
      <c r="F30" s="1" t="str">
        <f>"375.934,00"</f>
        <v>375.934,00</v>
      </c>
      <c r="G30" s="1" t="str">
        <f>CONCATENATE("20.01.2012.",CHAR(10),"60 dana od dana uvođenja u posao")</f>
        <v>20.01.2012.
60 dana od dana uvođenja u posao</v>
      </c>
      <c r="H30" s="1" t="str">
        <f>CONCATENATE("MONTEL D.O.O., ZAGREB",CHAR(10),"TOPOING D.O.O., KASTAV")</f>
        <v>MONTEL D.O.O., ZAGREB
TOPOING D.O.O., KASTAV</v>
      </c>
      <c r="I30" s="1" t="s">
        <v>36</v>
      </c>
      <c r="J30" s="1" t="str">
        <f>SUBSTITUTE(SUBSTITUTE(SUBSTITUTE("415,773.18",".","-"),",","."),"-",",")</f>
        <v>415.773,18</v>
      </c>
      <c r="K30" s="2"/>
    </row>
    <row r="31" spans="1:11" ht="47.25" x14ac:dyDescent="0.25">
      <c r="A31" s="1" t="str">
        <f>"26/2012"</f>
        <v>26/2012</v>
      </c>
      <c r="B31" s="1" t="s">
        <v>14</v>
      </c>
      <c r="C31" s="1" t="s">
        <v>1409</v>
      </c>
      <c r="D31" s="1" t="str">
        <f>CONCATENATE("EM-578-022/2011",CHAR(10),"N-16-M-142432-071111 od 08.11.2011.")</f>
        <v>EM-578-022/2011
N-16-M-142432-071111 od 08.11.2011.</v>
      </c>
      <c r="E31" s="1" t="s">
        <v>15</v>
      </c>
      <c r="F31" s="1" t="str">
        <f>"167.140,00"</f>
        <v>167.140,00</v>
      </c>
      <c r="G31" s="1" t="str">
        <f>CONCATENATE("20.01.2012.",CHAR(10),"12 mjeseci od dana obostranog potpisa ugovora")</f>
        <v>20.01.2012.
12 mjeseci od dana obostranog potpisa ugovora</v>
      </c>
      <c r="H31" s="1" t="str">
        <f>CONCATENATE("MT - ING D.O.O., ZAGREB")</f>
        <v>MT - ING D.O.O., ZAGREB</v>
      </c>
      <c r="I31" s="1" t="s">
        <v>37</v>
      </c>
      <c r="J31" s="1" t="str">
        <f>SUBSTITUTE(SUBSTITUTE(SUBSTITUTE("53,395.45",".","-"),",","."),"-",",")</f>
        <v>53.395,45</v>
      </c>
      <c r="K31" s="2"/>
    </row>
    <row r="32" spans="1:11" ht="47.25" x14ac:dyDescent="0.25">
      <c r="A32" s="1" t="str">
        <f>"27/2012"</f>
        <v>27/2012</v>
      </c>
      <c r="B32" s="1" t="s">
        <v>14</v>
      </c>
      <c r="C32" s="1" t="s">
        <v>1410</v>
      </c>
      <c r="D32" s="1" t="str">
        <f>CONCATENATE("EV-657-012/2011",CHAR(10),"N-02-V-140893-241011 od 25.10.2011.")</f>
        <v>EV-657-012/2011
N-02-V-140893-241011 od 25.10.2011.</v>
      </c>
      <c r="E32" s="1" t="s">
        <v>15</v>
      </c>
      <c r="F32" s="1" t="str">
        <f>"255.873,00"</f>
        <v>255.873,00</v>
      </c>
      <c r="G32" s="1" t="str">
        <f>CONCATENATE("23.01.2012.",CHAR(10),"sukcesivno, tijekom 1 godine od dana potpisa Ugovora")</f>
        <v>23.01.2012.
sukcesivno, tijekom 1 godine od dana potpisa Ugovora</v>
      </c>
      <c r="H32" s="1" t="str">
        <f>CONCATENATE("PGT ŠKUNCA D.O.O., ZAGREB-SUSEDGRAD",CHAR(10),"GEORASTER D.O.O., ZAGREB")</f>
        <v>PGT ŠKUNCA D.O.O., ZAGREB-SUSEDGRAD
GEORASTER D.O.O., ZAGREB</v>
      </c>
      <c r="I32" s="1" t="s">
        <v>38</v>
      </c>
      <c r="J32" s="1" t="str">
        <f>SUBSTITUTE(SUBSTITUTE(SUBSTITUTE("300,331.25",".","-"),",","."),"-",",")</f>
        <v>300.331,25</v>
      </c>
      <c r="K32" s="2"/>
    </row>
    <row r="33" spans="1:11" ht="47.25" x14ac:dyDescent="0.25">
      <c r="A33" s="1" t="str">
        <f>"28/2012"</f>
        <v>28/2012</v>
      </c>
      <c r="B33" s="1" t="s">
        <v>11</v>
      </c>
      <c r="C33" s="1" t="s">
        <v>1383</v>
      </c>
      <c r="D33" s="1" t="str">
        <f>"EV- 82-020/2011"</f>
        <v>EV- 82-020/2011</v>
      </c>
      <c r="E33" s="2"/>
      <c r="F33" s="1" t="str">
        <f>"0,00"</f>
        <v>0,00</v>
      </c>
      <c r="G33" s="1" t="str">
        <f>"23.01.2012."</f>
        <v>23.01.2012.</v>
      </c>
      <c r="H33" s="1" t="str">
        <f>CONCATENATE("OGANJ D.O.O., ZAGREB")</f>
        <v>OGANJ D.O.O., ZAGREB</v>
      </c>
      <c r="I33" s="1"/>
      <c r="J33" s="1"/>
      <c r="K33" s="2"/>
    </row>
    <row r="34" spans="1:11" ht="47.25" x14ac:dyDescent="0.25">
      <c r="A34" s="1" t="str">
        <f>"29/2012"</f>
        <v>29/2012</v>
      </c>
      <c r="B34" s="1" t="s">
        <v>14</v>
      </c>
      <c r="C34" s="1" t="s">
        <v>1411</v>
      </c>
      <c r="D34" s="1" t="str">
        <f>CONCATENATE("EV-304-012/2010.",CHAR(10),"N-02-V-144789-061210 od 08.12.2010.")</f>
        <v>EV-304-012/2010.
N-02-V-144789-061210 od 08.12.2010.</v>
      </c>
      <c r="E34" s="1" t="s">
        <v>15</v>
      </c>
      <c r="F34" s="1" t="str">
        <f>"557.785,66"</f>
        <v>557.785,66</v>
      </c>
      <c r="G34" s="1" t="str">
        <f>CONCATENATE("24.01.2012.",CHAR(10),"240 dana, računajući od dana uvođenja u posao")</f>
        <v>24.01.2012.
240 dana, računajući od dana uvođenja u posao</v>
      </c>
      <c r="H34" s="1" t="str">
        <f>CONCATENATE("TEH-GRADNJA D.O.O., ZAGREB")</f>
        <v>TEH-GRADNJA D.O.O., ZAGREB</v>
      </c>
      <c r="I34" s="2"/>
      <c r="J34" s="1"/>
      <c r="K34" s="2"/>
    </row>
    <row r="35" spans="1:11" ht="47.25" x14ac:dyDescent="0.25">
      <c r="A35" s="1" t="str">
        <f>"30/2012"</f>
        <v>30/2012</v>
      </c>
      <c r="B35" s="1" t="s">
        <v>14</v>
      </c>
      <c r="C35" s="1" t="s">
        <v>1412</v>
      </c>
      <c r="D35" s="1" t="str">
        <f>CONCATENATE("EM-782-012/2011",CHAR(10),"N-16-M-145653-261111")</f>
        <v>EM-782-012/2011
N-16-M-145653-261111</v>
      </c>
      <c r="E35" s="1" t="s">
        <v>15</v>
      </c>
      <c r="F35" s="1" t="str">
        <f>"153.160,00"</f>
        <v>153.160,00</v>
      </c>
      <c r="G35" s="1" t="str">
        <f>CONCATENATE("24.01.2012.",CHAR(10),"30 dana, računajući od dana uvođenja u posao")</f>
        <v>24.01.2012.
30 dana, računajući od dana uvođenja u posao</v>
      </c>
      <c r="H35" s="1" t="str">
        <f>CONCATENATE("P.G.P. D.O.O., ZAGREB",CHAR(10),"GEO-INFORMATIČKI STUDIO D.O.O., ZAGREB")</f>
        <v>P.G.P. D.O.O., ZAGREB
GEO-INFORMATIČKI STUDIO D.O.O., ZAGREB</v>
      </c>
      <c r="I35" s="2"/>
      <c r="J35" s="1"/>
      <c r="K35" s="2"/>
    </row>
    <row r="36" spans="1:11" ht="47.25" x14ac:dyDescent="0.25">
      <c r="A36" s="1" t="str">
        <f>"31/2012"</f>
        <v>31/2012</v>
      </c>
      <c r="B36" s="1" t="s">
        <v>14</v>
      </c>
      <c r="C36" s="1" t="s">
        <v>1413</v>
      </c>
      <c r="D36" s="1" t="str">
        <f>CONCATENATE("EM-595-012/2011",CHAR(10),"N-16-M-143613-151111 od 16.11.2011.")</f>
        <v>EM-595-012/2011
N-16-M-143613-151111 od 16.11.2011.</v>
      </c>
      <c r="E36" s="1" t="s">
        <v>15</v>
      </c>
      <c r="F36" s="1" t="str">
        <f>"228.416,68"</f>
        <v>228.416,68</v>
      </c>
      <c r="G36" s="1" t="str">
        <f>CONCATENATE("24.01.2012.",CHAR(10),"30 dana od dana uvođenja u posao")</f>
        <v>24.01.2012.
30 dana od dana uvođenja u posao</v>
      </c>
      <c r="H36" s="1" t="str">
        <f>CONCATENATE("ELEKTRO-ENERGETIKA D.O.O., ZAGREB")</f>
        <v>ELEKTRO-ENERGETIKA D.O.O., ZAGREB</v>
      </c>
      <c r="I36" s="1" t="s">
        <v>39</v>
      </c>
      <c r="J36" s="1" t="str">
        <f>SUBSTITUTE(SUBSTITUTE(SUBSTITUTE("255,355.31",".","-"),",","."),"-",",")</f>
        <v>255.355,31</v>
      </c>
      <c r="K36" s="2"/>
    </row>
    <row r="37" spans="1:11" ht="126" x14ac:dyDescent="0.25">
      <c r="A37" s="1" t="str">
        <f>"32/2012"</f>
        <v>32/2012</v>
      </c>
      <c r="B37" s="1" t="s">
        <v>11</v>
      </c>
      <c r="C37" s="1" t="s">
        <v>1414</v>
      </c>
      <c r="D37" s="1" t="str">
        <f>"EV-83-005/2011"</f>
        <v>EV-83-005/2011</v>
      </c>
      <c r="E37" s="2"/>
      <c r="F37" s="1" t="str">
        <f>"0,00"</f>
        <v>0,00</v>
      </c>
      <c r="G37" s="1" t="str">
        <f>CONCATENATE("25.01.2012.",CHAR(10),"kraj 2012. godine")</f>
        <v>25.01.2012.
kraj 2012. godine</v>
      </c>
      <c r="H37" s="1" t="str">
        <f>CONCATENATE("KONZALT ING D.O.O., ZAGREB")</f>
        <v>KONZALT ING D.O.O., ZAGREB</v>
      </c>
      <c r="I37" s="2"/>
      <c r="J37" s="1"/>
      <c r="K37" s="2"/>
    </row>
    <row r="38" spans="1:11" ht="47.25" x14ac:dyDescent="0.25">
      <c r="A38" s="1" t="str">
        <f>"33/2012"</f>
        <v>33/2012</v>
      </c>
      <c r="B38" s="1" t="s">
        <v>14</v>
      </c>
      <c r="C38" s="1" t="s">
        <v>1415</v>
      </c>
      <c r="D38" s="1" t="str">
        <f>CONCATENATE("EV-957-017/2011.",CHAR(10),"N-30-V-147445-071211 od 09.12.2011.")</f>
        <v>EV-957-017/2011.
N-30-V-147445-071211 od 09.12.2011.</v>
      </c>
      <c r="E38" s="1" t="s">
        <v>40</v>
      </c>
      <c r="F38" s="1" t="str">
        <f>"19.873,00"</f>
        <v>19.873,00</v>
      </c>
      <c r="G38" s="1" t="str">
        <f>CONCATENATE("25.01.2012.",CHAR(10),"60 dana, računajući od dana potpisa ugovora")</f>
        <v>25.01.2012.
60 dana, računajući od dana potpisa ugovora</v>
      </c>
      <c r="H38" s="1" t="str">
        <f>CONCATENATE("KLINIČKA BOLNICA ''SVETI DUH'', ZAGREB")</f>
        <v>KLINIČKA BOLNICA ''SVETI DUH'', ZAGREB</v>
      </c>
      <c r="I38" s="1" t="s">
        <v>41</v>
      </c>
      <c r="J38" s="1" t="str">
        <f>SUBSTITUTE(SUBSTITUTE(SUBSTITUTE("15,985.00",".","-"),",","."),"-",",")</f>
        <v>15.985,00</v>
      </c>
      <c r="K38" s="2"/>
    </row>
    <row r="39" spans="1:11" ht="47.25" x14ac:dyDescent="0.25">
      <c r="A39" s="1" t="str">
        <f>"34/2012"</f>
        <v>34/2012</v>
      </c>
      <c r="B39" s="1" t="s">
        <v>14</v>
      </c>
      <c r="C39" s="1" t="s">
        <v>1416</v>
      </c>
      <c r="D39" s="1" t="str">
        <f>CONCATENATE("EM-753-012/2011",CHAR(10),"N-16-M-144918-221111 od 23.11.2011.")</f>
        <v>EM-753-012/2011
N-16-M-144918-221111 od 23.11.2011.</v>
      </c>
      <c r="E39" s="1" t="s">
        <v>15</v>
      </c>
      <c r="F39" s="1" t="str">
        <f>"153.764,26"</f>
        <v>153.764,26</v>
      </c>
      <c r="G39" s="1" t="str">
        <f>CONCATENATE("25.01.2012.",CHAR(10),"30 dana od dana uvođenja u posao")</f>
        <v>25.01.2012.
30 dana od dana uvođenja u posao</v>
      </c>
      <c r="H39" s="1" t="str">
        <f>CONCATENATE("ELEKTROCENTAR PETEK D.O.O., IVANIĆ-GRAD")</f>
        <v>ELEKTROCENTAR PETEK D.O.O., IVANIĆ-GRAD</v>
      </c>
      <c r="I39" s="1" t="s">
        <v>42</v>
      </c>
      <c r="J39" s="1" t="str">
        <f>SUBSTITUTE(SUBSTITUTE(SUBSTITUTE("179,688.05",".","-"),",","."),"-",",")</f>
        <v>179.688,05</v>
      </c>
      <c r="K39" s="2"/>
    </row>
    <row r="40" spans="1:11" ht="47.25" x14ac:dyDescent="0.25">
      <c r="A40" s="1" t="str">
        <f>"35/2012"</f>
        <v>35/2012</v>
      </c>
      <c r="B40" s="1" t="s">
        <v>14</v>
      </c>
      <c r="C40" s="1" t="s">
        <v>1417</v>
      </c>
      <c r="D40" s="1" t="str">
        <f>CONCATENATE("EM-703-012/2011",CHAR(10),"N-16-M-144496-191111 od 22.11.2011.")</f>
        <v>EM-703-012/2011
N-16-M-144496-191111 od 22.11.2011.</v>
      </c>
      <c r="E40" s="1" t="s">
        <v>15</v>
      </c>
      <c r="F40" s="1" t="str">
        <f>"72.225,80"</f>
        <v>72.225,80</v>
      </c>
      <c r="G40" s="1" t="str">
        <f>CONCATENATE("25.01.2012.",CHAR(10),"30 dana od dana uvođenja u posao")</f>
        <v>25.01.2012.
30 dana od dana uvođenja u posao</v>
      </c>
      <c r="H40" s="1" t="str">
        <f>CONCATENATE("INSTAL-PROM D.O.O., ZAGREB",CHAR(10),"GEO 6 D.O.O, ZAGREB-SUSEDGRAD")</f>
        <v>INSTAL-PROM D.O.O., ZAGREB
GEO 6 D.O.O, ZAGREB-SUSEDGRAD</v>
      </c>
      <c r="I40" s="2"/>
      <c r="J40" s="1"/>
      <c r="K40" s="2"/>
    </row>
    <row r="41" spans="1:11" ht="78.75" x14ac:dyDescent="0.25">
      <c r="A41" s="1" t="str">
        <f>"36/2012"</f>
        <v>36/2012</v>
      </c>
      <c r="B41" s="1" t="s">
        <v>11</v>
      </c>
      <c r="C41" s="1" t="s">
        <v>1418</v>
      </c>
      <c r="D41" s="1" t="str">
        <f>CONCATENATE("EV-698-012/2011",CHAR(10),"N-30-V-146289-301111 od 01.12.2011.")</f>
        <v>EV-698-012/2011
N-30-V-146289-301111 od 01.12.2011.</v>
      </c>
      <c r="E41" s="1" t="s">
        <v>12</v>
      </c>
      <c r="F41" s="1" t="str">
        <f>"571.641,70"</f>
        <v>571.641,70</v>
      </c>
      <c r="G41" s="1" t="str">
        <f>CONCATENATE("25.01.2012.",CHAR(10),"15 dana računajući od dana obostranog potpisa aneksa")</f>
        <v>25.01.2012.
15 dana računajući od dana obostranog potpisa aneksa</v>
      </c>
      <c r="H41" s="1" t="str">
        <f>CONCATENATE("HM-PATRIA D.O.O., ZAGREB")</f>
        <v>HM-PATRIA D.O.O., ZAGREB</v>
      </c>
      <c r="I41" s="1" t="s">
        <v>43</v>
      </c>
      <c r="J41" s="1" t="str">
        <f>SUBSTITUTE(SUBSTITUTE(SUBSTITUTE("703,119.29",".","-"),",","."),"-",",")</f>
        <v>703.119,29</v>
      </c>
      <c r="K41" s="2"/>
    </row>
    <row r="42" spans="1:11" ht="63" x14ac:dyDescent="0.25">
      <c r="A42" s="1" t="str">
        <f>"37/2012"</f>
        <v>37/2012</v>
      </c>
      <c r="B42" s="1" t="s">
        <v>14</v>
      </c>
      <c r="C42" s="1" t="s">
        <v>1419</v>
      </c>
      <c r="D42" s="1" t="str">
        <f>CONCATENATE("EM-597-005/2011",CHAR(10),"N-16-M-142744-081111 od 09.11.2011.")</f>
        <v>EM-597-005/2011
N-16-M-142744-081111 od 09.11.2011.</v>
      </c>
      <c r="E42" s="1" t="s">
        <v>15</v>
      </c>
      <c r="F42" s="1" t="str">
        <f>"62.189,90"</f>
        <v>62.189,90</v>
      </c>
      <c r="G42" s="1" t="str">
        <f>CONCATENATE("26.01.2012.",CHAR(10),"30 dana od dana uvođenja u posao")</f>
        <v>26.01.2012.
30 dana od dana uvođenja u posao</v>
      </c>
      <c r="H42" s="1" t="str">
        <f>CONCATENATE("''KINDER'' GRADNJA I USLUGE VL. I. KINDER, SESVETE-KRALJEVEC",CHAR(10),"GEOFORMAT D.O.O., ZAGREB")</f>
        <v>''KINDER'' GRADNJA I USLUGE VL. I. KINDER, SESVETE-KRALJEVEC
GEOFORMAT D.O.O., ZAGREB</v>
      </c>
      <c r="I42" s="1" t="s">
        <v>29</v>
      </c>
      <c r="J42" s="1" t="str">
        <f>CONCATENATE(SUBSTITUTE(SUBSTITUTE(SUBSTITUTE("77,663.33",".","-"),",","."),"-",","),CHAR(10),"konačno plaćeni iznos veći je od ugovorenog radi promjene stope PDV-a")</f>
        <v>77.663,33
konačno plaćeni iznos veći je od ugovorenog radi promjene stope PDV-a</v>
      </c>
      <c r="K42" s="2"/>
    </row>
    <row r="43" spans="1:11" ht="63" x14ac:dyDescent="0.25">
      <c r="A43" s="1" t="str">
        <f>"38/2012"</f>
        <v>38/2012</v>
      </c>
      <c r="B43" s="1" t="s">
        <v>11</v>
      </c>
      <c r="C43" s="1" t="s">
        <v>1420</v>
      </c>
      <c r="D43" s="1" t="str">
        <f>CONCATENATE("EM-510-012/2011",CHAR(10),"N-32-M-149269-161211 od 19.12.2011.")</f>
        <v>EM-510-012/2011
N-32-M-149269-161211 od 19.12.2011.</v>
      </c>
      <c r="E43" s="1" t="s">
        <v>12</v>
      </c>
      <c r="F43" s="1" t="str">
        <f>"41.717,00"</f>
        <v>41.717,00</v>
      </c>
      <c r="G43" s="1" t="str">
        <f>CONCATENATE("26.01.2012.",CHAR(10),"10 dana računajući od dana obostranog potpisa aneksa")</f>
        <v>26.01.2012.
10 dana računajući od dana obostranog potpisa aneksa</v>
      </c>
      <c r="H43" s="1" t="str">
        <f>CONCATENATE("''KINDER'' GRADNJA I USLUGE VL. I. KINDER, SESVETE-KRALJEVEC")</f>
        <v>''KINDER'' GRADNJA I USLUGE VL. I. KINDER, SESVETE-KRALJEVEC</v>
      </c>
      <c r="I43" s="1" t="s">
        <v>44</v>
      </c>
      <c r="J43" s="1" t="str">
        <f>SUBSTITUTE(SUBSTITUTE(SUBSTITUTE("51,303.72",".","-"),",","."),"-",",")</f>
        <v>51.303,72</v>
      </c>
      <c r="K43" s="2"/>
    </row>
    <row r="44" spans="1:11" ht="63" x14ac:dyDescent="0.25">
      <c r="A44" s="1" t="str">
        <f>"39/2012"</f>
        <v>39/2012</v>
      </c>
      <c r="B44" s="1" t="s">
        <v>14</v>
      </c>
      <c r="C44" s="1" t="s">
        <v>1421</v>
      </c>
      <c r="D44" s="1" t="str">
        <f>CONCATENATE("EM-961-022/2011",CHAR(10),"N-16-M-148953-151211 od 16.12.2011.")</f>
        <v>EM-961-022/2011
N-16-M-148953-151211 od 16.12.2011.</v>
      </c>
      <c r="E44" s="1" t="s">
        <v>15</v>
      </c>
      <c r="F44" s="1" t="str">
        <f>"121.004,00"</f>
        <v>121.004,00</v>
      </c>
      <c r="G44" s="1" t="str">
        <f>CONCATENATE("27.01.2012.",CHAR(10),"60 dana od dana obostranog potpisa Ugovora")</f>
        <v>27.01.2012.
60 dana od dana obostranog potpisa Ugovora</v>
      </c>
      <c r="H44" s="1" t="str">
        <f>CONCATENATE("STEGA TISAK D.O.O, ZAGREB")</f>
        <v>STEGA TISAK D.O.O, ZAGREB</v>
      </c>
      <c r="I44" s="1" t="s">
        <v>45</v>
      </c>
      <c r="J44" s="1" t="str">
        <f>CONCATENATE(SUBSTITUTE(SUBSTITUTE(SUBSTITUTE("151,255.00",".","-"),",","."),"-",","),CHAR(10),"konačno plaćeni iznos veći je od ugovorenog radi promjene stope PDV-a")</f>
        <v>151.255,00
konačno plaćeni iznos veći je od ugovorenog radi promjene stope PDV-a</v>
      </c>
      <c r="K44" s="2"/>
    </row>
    <row r="45" spans="1:11" ht="47.25" x14ac:dyDescent="0.25">
      <c r="A45" s="1" t="str">
        <f>"40/2012"</f>
        <v>40/2012</v>
      </c>
      <c r="B45" s="1" t="s">
        <v>14</v>
      </c>
      <c r="C45" s="1" t="s">
        <v>1422</v>
      </c>
      <c r="D45" s="1" t="str">
        <f>CONCATENATE("EM-574-022/2011",CHAR(10),"N-16-M-143670-151111 od 16.11.2011.")</f>
        <v>EM-574-022/2011
N-16-M-143670-151111 od 16.11.2011.</v>
      </c>
      <c r="E45" s="1" t="s">
        <v>15</v>
      </c>
      <c r="F45" s="1" t="str">
        <f>"198.992,00"</f>
        <v>198.992,00</v>
      </c>
      <c r="G45" s="1" t="str">
        <f>CONCATENATE("27.01.2012.",CHAR(10),"30 dana od dana uvođenja u posao")</f>
        <v>27.01.2012.
30 dana od dana uvođenja u posao</v>
      </c>
      <c r="H45" s="1" t="str">
        <f>CONCATENATE("TERMO SERVIS D.O.O., ZAGREB")</f>
        <v>TERMO SERVIS D.O.O., ZAGREB</v>
      </c>
      <c r="I45" s="1" t="s">
        <v>33</v>
      </c>
      <c r="J45" s="1" t="str">
        <f>SUBSTITUTE(SUBSTITUTE(SUBSTITUTE("241,502.50",".","-"),",","."),"-",",")</f>
        <v>241.502,50</v>
      </c>
      <c r="K45" s="2"/>
    </row>
    <row r="46" spans="1:11" ht="63" x14ac:dyDescent="0.25">
      <c r="A46" s="1" t="str">
        <f>"41/2012"</f>
        <v>41/2012</v>
      </c>
      <c r="B46" s="1" t="s">
        <v>14</v>
      </c>
      <c r="C46" s="1" t="s">
        <v>1423</v>
      </c>
      <c r="D46" s="1" t="str">
        <f>CONCATENATE("EM-694-012/2011",CHAR(10),"N-16-M-142757-081111 od 09.11.2011.")</f>
        <v>EM-694-012/2011
N-16-M-142757-081111 od 09.11.2011.</v>
      </c>
      <c r="E46" s="1" t="s">
        <v>15</v>
      </c>
      <c r="F46" s="1" t="str">
        <f>"169.385,00"</f>
        <v>169.385,00</v>
      </c>
      <c r="G46" s="1" t="str">
        <f>CONCATENATE("27.01.2012.",CHAR(10),"30 dana, računajući od dana uvođenja u posao")</f>
        <v>27.01.2012.
30 dana, računajući od dana uvođenja u posao</v>
      </c>
      <c r="H46" s="1" t="str">
        <f>CONCATENATE("TRSTENIK ELEKTRONIKA D.O.O., SESVETE-KRALJEVEC")</f>
        <v>TRSTENIK ELEKTRONIKA D.O.O., SESVETE-KRALJEVEC</v>
      </c>
      <c r="I46" s="1" t="s">
        <v>46</v>
      </c>
      <c r="J46" s="1" t="str">
        <f>CONCATENATE(SUBSTITUTE(SUBSTITUTE(SUBSTITUTE("211,687.50",".","-"),",","."),"-",","),CHAR(10),"konačno plaćeni iznos veći je od ugovorenog radi promjene stope PDV-a")</f>
        <v>211.687,50
konačno plaćeni iznos veći je od ugovorenog radi promjene stope PDV-a</v>
      </c>
      <c r="K46" s="2"/>
    </row>
    <row r="47" spans="1:11" ht="78.75" x14ac:dyDescent="0.25">
      <c r="A47" s="1" t="str">
        <f>"42/2012"</f>
        <v>42/2012</v>
      </c>
      <c r="B47" s="1" t="s">
        <v>14</v>
      </c>
      <c r="C47" s="1" t="s">
        <v>1424</v>
      </c>
      <c r="D47" s="1" t="str">
        <f>CONCATENATE("EV-643-012/2011",CHAR(10),"N-02-V-139106-111011 od 12.10.2011.")</f>
        <v>EV-643-012/2011
N-02-V-139106-111011 od 12.10.2011.</v>
      </c>
      <c r="E47" s="1" t="s">
        <v>15</v>
      </c>
      <c r="F47" s="1" t="str">
        <f>"725.416,34"</f>
        <v>725.416,34</v>
      </c>
      <c r="G47" s="1" t="str">
        <f>CONCATENATE("27.01.2012.",CHAR(10),"sukcesivno-prema kontinuiranim pisanim nalozima nar. do konz. ugovora uz rok isporuke do 10 dana")</f>
        <v>27.01.2012.
sukcesivno-prema kontinuiranim pisanim nalozima nar. do konz. ugovora uz rok isporuke do 10 dana</v>
      </c>
      <c r="H47" s="1" t="str">
        <f>CONCATENATE("LIPAPROMET D.O.O., ZAGREB")</f>
        <v>LIPAPROMET D.O.O., ZAGREB</v>
      </c>
      <c r="I47" s="1" t="s">
        <v>47</v>
      </c>
      <c r="J47" s="1" t="str">
        <f>SUBSTITUTE(SUBSTITUTE(SUBSTITUTE("891,593.73",".","-"),",","."),"-",",")</f>
        <v>891.593,73</v>
      </c>
      <c r="K47" s="2"/>
    </row>
    <row r="48" spans="1:11" ht="47.25" x14ac:dyDescent="0.25">
      <c r="A48" s="1" t="str">
        <f>"43/2012"</f>
        <v>43/2012</v>
      </c>
      <c r="B48" s="1" t="s">
        <v>14</v>
      </c>
      <c r="C48" s="1" t="s">
        <v>1425</v>
      </c>
      <c r="D48" s="1" t="str">
        <f>CONCATENATE("EM-678-012/2011",CHAR(10),"N-16-M-142120-031111 od 04.11.2011.")</f>
        <v>EM-678-012/2011
N-16-M-142120-031111 od 04.11.2011.</v>
      </c>
      <c r="E48" s="1" t="s">
        <v>15</v>
      </c>
      <c r="F48" s="1" t="str">
        <f>"62.500,00"</f>
        <v>62.500,00</v>
      </c>
      <c r="G48" s="1" t="str">
        <f>CONCATENATE("30.01.2012.",CHAR(10),"90 dana od dana obostranog potpisa Ugovora")</f>
        <v>30.01.2012.
90 dana od dana obostranog potpisa Ugovora</v>
      </c>
      <c r="H48" s="1" t="str">
        <f>CONCATENATE("DALEKOVOD-PROJEKT D.O.O., ZAGREB")</f>
        <v>DALEKOVOD-PROJEKT D.O.O., ZAGREB</v>
      </c>
      <c r="I48" s="2"/>
      <c r="J48" s="1"/>
      <c r="K48" s="2"/>
    </row>
    <row r="49" spans="1:11" ht="63" x14ac:dyDescent="0.25">
      <c r="A49" s="1" t="str">
        <f>"44/2012"</f>
        <v>44/2012</v>
      </c>
      <c r="B49" s="1" t="s">
        <v>14</v>
      </c>
      <c r="C49" s="1" t="s">
        <v>1426</v>
      </c>
      <c r="D49" s="1" t="str">
        <f>CONCATENATE("EM-696-022/2011",CHAR(10),"N-16-M-144763-221111 od 23.11.2011.")</f>
        <v>EM-696-022/2011
N-16-M-144763-221111 od 23.11.2011.</v>
      </c>
      <c r="E49" s="1" t="s">
        <v>15</v>
      </c>
      <c r="F49" s="1" t="str">
        <f>"158.000,00"</f>
        <v>158.000,00</v>
      </c>
      <c r="G49" s="1" t="str">
        <f>CONCATENATE("30.01.2012.",CHAR(10),"60 dana, računajući od dana obostranog potpisa Ugovora")</f>
        <v>30.01.2012.
60 dana, računajući od dana obostranog potpisa Ugovora</v>
      </c>
      <c r="H49" s="1" t="str">
        <f>CONCATENATE("EKONERG D.O.O., ZAGREB",CHAR(10),"INSTITUT ZA MEDICINSKA ISTRAŽIVANJA I MEDICINU RADA, ZAGREB")</f>
        <v>EKONERG D.O.O., ZAGREB
INSTITUT ZA MEDICINSKA ISTRAŽIVANJA I MEDICINU RADA, ZAGREB</v>
      </c>
      <c r="I49" s="1" t="s">
        <v>48</v>
      </c>
      <c r="J49" s="1" t="str">
        <f>CONCATENATE(SUBSTITUTE(SUBSTITUTE(SUBSTITUTE("197,500.00",".","-"),",","."),"-",","),CHAR(10),"konačno plaćeni iznos veći je od ugovorenog radi promjene stope PDV-a")</f>
        <v>197.500,00
konačno plaćeni iznos veći je od ugovorenog radi promjene stope PDV-a</v>
      </c>
      <c r="K49" s="2"/>
    </row>
    <row r="50" spans="1:11" ht="63" x14ac:dyDescent="0.25">
      <c r="A50" s="1" t="str">
        <f>"45/2012"</f>
        <v>45/2012</v>
      </c>
      <c r="B50" s="1" t="s">
        <v>14</v>
      </c>
      <c r="C50" s="1" t="s">
        <v>1427</v>
      </c>
      <c r="D50" s="1" t="str">
        <f>CONCATENATE("EM-646-022/2011",CHAR(10),"N-16-M-138997-101011 od 11.10.2011.")</f>
        <v>EM-646-022/2011
N-16-M-138997-101011 od 11.10.2011.</v>
      </c>
      <c r="E50" s="1" t="s">
        <v>15</v>
      </c>
      <c r="F50" s="1" t="str">
        <f>"18.500,00"</f>
        <v>18.500,00</v>
      </c>
      <c r="G50" s="1" t="str">
        <f>CONCATENATE("30.01.2012.",CHAR(10),"60 dana od dana obostranog potpisa Ugovora")</f>
        <v>30.01.2012.
60 dana od dana obostranog potpisa Ugovora</v>
      </c>
      <c r="H50" s="1" t="str">
        <f>CONCATENATE("MAŠINOPROJEKT D.O.O., ZAGREB")</f>
        <v>MAŠINOPROJEKT D.O.O., ZAGREB</v>
      </c>
      <c r="I50" s="1" t="s">
        <v>49</v>
      </c>
      <c r="J50" s="1" t="str">
        <f>CONCATENATE(SUBSTITUTE(SUBSTITUTE(SUBSTITUTE("23,125.00",".","-"),",","."),"-",","),CHAR(10),"konačno plaćeni iznos veći je od ugovorenog radi promjene stope PDV-a")</f>
        <v>23.125,00
konačno plaćeni iznos veći je od ugovorenog radi promjene stope PDV-a</v>
      </c>
      <c r="K50" s="2"/>
    </row>
    <row r="51" spans="1:11" ht="47.25" x14ac:dyDescent="0.25">
      <c r="A51" s="1" t="str">
        <f>"46/2012"</f>
        <v>46/2012</v>
      </c>
      <c r="B51" s="1" t="s">
        <v>14</v>
      </c>
      <c r="C51" s="1" t="s">
        <v>1428</v>
      </c>
      <c r="D51" s="1" t="str">
        <f>CONCATENATE("EV-673-012/2011.",CHAR(10),"N-02-V-143387-121111 od 15.11.2011.")</f>
        <v>EV-673-012/2011.
N-02-V-143387-121111 od 15.11.2011.</v>
      </c>
      <c r="E51" s="1" t="s">
        <v>15</v>
      </c>
      <c r="F51" s="1" t="str">
        <f>"411.090,00"</f>
        <v>411.090,00</v>
      </c>
      <c r="G51" s="1" t="str">
        <f>CONCATENATE("30.01.2012.",CHAR(10),"30 dana od dana uvođenja u posao")</f>
        <v>30.01.2012.
30 dana od dana uvođenja u posao</v>
      </c>
      <c r="H51" s="1" t="str">
        <f>CONCATENATE("AMB GRADNJA D.O.O., ZAGREB",CHAR(10),"GEO OMEGA D.O.O., ZAGREB")</f>
        <v>AMB GRADNJA D.O.O., ZAGREB
GEO OMEGA D.O.O., ZAGREB</v>
      </c>
      <c r="I51" s="2"/>
      <c r="J51" s="1"/>
      <c r="K51" s="2"/>
    </row>
    <row r="52" spans="1:11" ht="63" x14ac:dyDescent="0.25">
      <c r="A52" s="1" t="str">
        <f>"47/2012"</f>
        <v>47/2012</v>
      </c>
      <c r="B52" s="1" t="s">
        <v>14</v>
      </c>
      <c r="C52" s="1" t="s">
        <v>1429</v>
      </c>
      <c r="D52" s="1" t="str">
        <f>CONCATENATE("EM-963-022/2011",CHAR(10),"N-16-M-148933-151211 od 16.11.2011.")</f>
        <v>EM-963-022/2011
N-16-M-148933-151211 od 16.11.2011.</v>
      </c>
      <c r="E52" s="1" t="s">
        <v>15</v>
      </c>
      <c r="F52" s="1" t="str">
        <f>"90.000,00"</f>
        <v>90.000,00</v>
      </c>
      <c r="G52" s="1" t="str">
        <f>CONCATENATE("31.01.2012.",CHAR(10),"60 dana od dana obostranog potpisa Ugovora")</f>
        <v>31.01.2012.
60 dana od dana obostranog potpisa Ugovora</v>
      </c>
      <c r="H52" s="1" t="str">
        <f>CONCATENATE("LJAMA STUDIO D.O.O., ZAGREB")</f>
        <v>LJAMA STUDIO D.O.O., ZAGREB</v>
      </c>
      <c r="I52" s="1" t="s">
        <v>50</v>
      </c>
      <c r="J52" s="1" t="str">
        <f>CONCATENATE(SUBSTITUTE(SUBSTITUTE(SUBSTITUTE("112,500.00",".","-"),",","."),"-",","),CHAR(10),"konačno plaćeni iznos veći je od ugovorenog radi promjene stope PDV-a")</f>
        <v>112.500,00
konačno plaćeni iznos veći je od ugovorenog radi promjene stope PDV-a</v>
      </c>
      <c r="K52" s="2"/>
    </row>
    <row r="53" spans="1:11" ht="47.25" x14ac:dyDescent="0.25">
      <c r="A53" s="1" t="str">
        <f>"48/2012"</f>
        <v>48/2012</v>
      </c>
      <c r="B53" s="1" t="s">
        <v>14</v>
      </c>
      <c r="C53" s="1" t="s">
        <v>1430</v>
      </c>
      <c r="D53" s="1" t="str">
        <f>CONCATENATE("EM-833-009/2011",CHAR(10),"N-32-M-150885-271211 od 28.12.2011.")</f>
        <v>EM-833-009/2011
N-32-M-150885-271211 od 28.12.2011.</v>
      </c>
      <c r="E53" s="1" t="s">
        <v>40</v>
      </c>
      <c r="F53" s="1" t="str">
        <f>"56.832,00"</f>
        <v>56.832,00</v>
      </c>
      <c r="G53" s="1" t="str">
        <f>CONCATENATE("31.01.2012.",CHAR(10),"do 31. siječnja 2013.")</f>
        <v>31.01.2012.
do 31. siječnja 2013.</v>
      </c>
      <c r="H53" s="1" t="str">
        <f>CONCATENATE("SOKOL MARIĆ D.O.O., ZAGREB")</f>
        <v>SOKOL MARIĆ D.O.O., ZAGREB</v>
      </c>
      <c r="I53" s="1" t="s">
        <v>51</v>
      </c>
      <c r="J53" s="1" t="str">
        <f>SUBSTITUTE(SUBSTITUTE(SUBSTITUTE("56,055.00",".","-"),",","."),"-",",")</f>
        <v>56.055,00</v>
      </c>
      <c r="K53" s="2"/>
    </row>
    <row r="54" spans="1:11" ht="63" x14ac:dyDescent="0.25">
      <c r="A54" s="1" t="str">
        <f>"49/2012"</f>
        <v>49/2012</v>
      </c>
      <c r="B54" s="1" t="s">
        <v>14</v>
      </c>
      <c r="C54" s="1" t="s">
        <v>1431</v>
      </c>
      <c r="D54" s="1" t="str">
        <f>CONCATENATE("EM-740-012/2011",CHAR(10),"N-16-M-146826-031211 od 06.12.2011.")</f>
        <v>EM-740-012/2011
N-16-M-146826-031211 od 06.12.2011.</v>
      </c>
      <c r="E54" s="1" t="s">
        <v>15</v>
      </c>
      <c r="F54" s="1" t="str">
        <f>"105.000,00"</f>
        <v>105.000,00</v>
      </c>
      <c r="G54" s="1" t="str">
        <f>CONCATENATE("31.01.2012.",CHAR(10),"50 dana, računajući od dana obostranog potpisa Ugovora")</f>
        <v>31.01.2012.
50 dana, računajući od dana obostranog potpisa Ugovora</v>
      </c>
      <c r="H54" s="1" t="str">
        <f>CONCATENATE("LEKO-BIRO D.O.O., SLAVONSKI BROD",CHAR(10),"GEO-MONT D.O.O., SLAVONSKI BROD")</f>
        <v>LEKO-BIRO D.O.O., SLAVONSKI BROD
GEO-MONT D.O.O., SLAVONSKI BROD</v>
      </c>
      <c r="I54" s="1" t="s">
        <v>52</v>
      </c>
      <c r="J54" s="1" t="str">
        <f>CONCATENATE(SUBSTITUTE(SUBSTITUTE(SUBSTITUTE("131,250.00",".","-"),",","."),"-",","),CHAR(10),"konačno plaćeni iznos veći je od ugovorenog radi promjene stope PDV-a")</f>
        <v>131.250,00
konačno plaćeni iznos veći je od ugovorenog radi promjene stope PDV-a</v>
      </c>
      <c r="K54" s="2"/>
    </row>
    <row r="55" spans="1:11" ht="47.25" x14ac:dyDescent="0.25">
      <c r="A55" s="1" t="str">
        <f>"50/2012"</f>
        <v>50/2012</v>
      </c>
      <c r="B55" s="1" t="s">
        <v>14</v>
      </c>
      <c r="C55" s="1" t="s">
        <v>1432</v>
      </c>
      <c r="D55" s="1" t="str">
        <f>CONCATENATE("EM-832-009/2011",CHAR(10),"N-32-M-152442-301211 od 02.01.2012.")</f>
        <v>EM-832-009/2011
N-32-M-152442-301211 od 02.01.2012.</v>
      </c>
      <c r="E55" s="1" t="s">
        <v>40</v>
      </c>
      <c r="F55" s="1" t="str">
        <f>"141.600,00"</f>
        <v>141.600,00</v>
      </c>
      <c r="G55" s="1" t="str">
        <f>CONCATENATE("01.02.2012.",CHAR(10),"31.siječnja 2013.")</f>
        <v>01.02.2012.
31.siječnja 2013.</v>
      </c>
      <c r="H55" s="1" t="str">
        <f>CONCATENATE("ZAŠTITA-ZAGREB D.D., ZAGREB")</f>
        <v>ZAŠTITA-ZAGREB D.D., ZAGREB</v>
      </c>
      <c r="I55" s="1" t="s">
        <v>51</v>
      </c>
      <c r="J55" s="1" t="str">
        <f>SUBSTITUTE(SUBSTITUTE(SUBSTITUTE("162,840.00",".","-"),",","."),"-",",")</f>
        <v>162.840,00</v>
      </c>
      <c r="K55" s="2"/>
    </row>
    <row r="56" spans="1:11" ht="63" x14ac:dyDescent="0.25">
      <c r="A56" s="1" t="str">
        <f>"51/2012"</f>
        <v>51/2012</v>
      </c>
      <c r="B56" s="1" t="s">
        <v>14</v>
      </c>
      <c r="C56" s="1" t="s">
        <v>1433</v>
      </c>
      <c r="D56" s="1" t="str">
        <f>CONCATENATE("EV-601-012/2011",CHAR(10),"N-02-V-133625-290811 od 30.08.2011.")</f>
        <v>EV-601-012/2011
N-02-V-133625-290811 od 30.08.2011.</v>
      </c>
      <c r="E56" s="1" t="s">
        <v>15</v>
      </c>
      <c r="F56" s="1" t="str">
        <f>"1.889.000,00"</f>
        <v>1.889.000,00</v>
      </c>
      <c r="G56" s="1" t="str">
        <f>CONCATENATE("01.02.2012.",CHAR(10),"90 dana, računajući od dana potpisa Ugovora")</f>
        <v>01.02.2012.
90 dana, računajući od dana potpisa Ugovora</v>
      </c>
      <c r="H56" s="1" t="str">
        <f>CONCATENATE("INSTITUT IGH D.D., ZAGREB")</f>
        <v>INSTITUT IGH D.D., ZAGREB</v>
      </c>
      <c r="I56" s="2"/>
      <c r="J56" s="1"/>
      <c r="K56" s="2"/>
    </row>
    <row r="57" spans="1:11" ht="78.75" x14ac:dyDescent="0.25">
      <c r="A57" s="1" t="str">
        <f>"52/2012"</f>
        <v>52/2012</v>
      </c>
      <c r="B57" s="1" t="s">
        <v>14</v>
      </c>
      <c r="C57" s="1" t="s">
        <v>1434</v>
      </c>
      <c r="D57" s="1" t="str">
        <f>CONCATENATE("EM-820-012/2011",CHAR(10),"N-16-M-146938-051211 od 06.12.2011. te isp. N-19-M-147065-061211 od 07.12.2011.")</f>
        <v>EM-820-012/2011
N-16-M-146938-051211 od 06.12.2011. te isp. N-19-M-147065-061211 od 07.12.2011.</v>
      </c>
      <c r="E57" s="1" t="s">
        <v>15</v>
      </c>
      <c r="F57" s="1" t="str">
        <f>"39.700,00"</f>
        <v>39.700,00</v>
      </c>
      <c r="G57" s="1" t="str">
        <f>CONCATENATE("01.02.2012.",CHAR(10),"30 dana od dana uvođenja u posao")</f>
        <v>01.02.2012.
30 dana od dana uvođenja u posao</v>
      </c>
      <c r="H57" s="1" t="str">
        <f>CONCATENATE("GRADNJAPROJEKT- ZAGREB D.O.O., ZAGREB")</f>
        <v>GRADNJAPROJEKT- ZAGREB D.O.O., ZAGREB</v>
      </c>
      <c r="I57" s="1" t="s">
        <v>53</v>
      </c>
      <c r="J57" s="1" t="str">
        <f>CONCATENATE(SUBSTITUTE(SUBSTITUTE(SUBSTITUTE("49,625.00",".","-"),",","."),"-",","),CHAR(10),"konačno plaćeni iznos veći je od ugovorenog radi promjene stope PDV-a")</f>
        <v>49.625,00
konačno plaćeni iznos veći je od ugovorenog radi promjene stope PDV-a</v>
      </c>
      <c r="K57" s="2"/>
    </row>
    <row r="58" spans="1:11" ht="78.75" x14ac:dyDescent="0.25">
      <c r="A58" s="1" t="str">
        <f>"53/2012"</f>
        <v>53/2012</v>
      </c>
      <c r="B58" s="1" t="s">
        <v>14</v>
      </c>
      <c r="C58" s="1" t="s">
        <v>1435</v>
      </c>
      <c r="D58" s="1" t="str">
        <f>CONCATENATE("EM-812-012/2011",CHAR(10),"N-16-M-146382-301111 od 02.12.2011 te isp. broj N-19-M-147071-061211 od 07.12.2011.")</f>
        <v>EM-812-012/2011
N-16-M-146382-301111 od 02.12.2011 te isp. broj N-19-M-147071-061211 od 07.12.2011.</v>
      </c>
      <c r="E58" s="1" t="s">
        <v>15</v>
      </c>
      <c r="F58" s="1" t="str">
        <f>"68.850,00"</f>
        <v>68.850,00</v>
      </c>
      <c r="G58" s="1" t="str">
        <f>CONCATENATE("01.02.2012.",CHAR(10),"30 dana od dana uvođenja u posao")</f>
        <v>01.02.2012.
30 dana od dana uvođenja u posao</v>
      </c>
      <c r="H58" s="1" t="str">
        <f>CONCATENATE("GRADNJAPROJEKT- ZAGREB D.O.O., ZAGREB")</f>
        <v>GRADNJAPROJEKT- ZAGREB D.O.O., ZAGREB</v>
      </c>
      <c r="I58" s="1" t="s">
        <v>53</v>
      </c>
      <c r="J58" s="1" t="str">
        <f>CONCATENATE(SUBSTITUTE(SUBSTITUTE(SUBSTITUTE("85,833.19",".","-"),",","."),"-",","),CHAR(10),"konačno plaćeni iznos veći je od ugovorenog radi promjene stope PDV-a")</f>
        <v>85.833,19
konačno plaćeni iznos veći je od ugovorenog radi promjene stope PDV-a</v>
      </c>
      <c r="K58" s="2"/>
    </row>
    <row r="59" spans="1:11" ht="47.25" x14ac:dyDescent="0.25">
      <c r="A59" s="1" t="str">
        <f>"54/2012"</f>
        <v>54/2012</v>
      </c>
      <c r="B59" s="1" t="s">
        <v>11</v>
      </c>
      <c r="C59" s="1" t="s">
        <v>1436</v>
      </c>
      <c r="D59" s="1" t="str">
        <f>CONCATENATE("EM-581-012/2011",CHAR(10),"N-32-M-149520-191211 od 20.12.2011.")</f>
        <v>EM-581-012/2011
N-32-M-149520-191211 od 20.12.2011.</v>
      </c>
      <c r="E59" s="1" t="s">
        <v>12</v>
      </c>
      <c r="F59" s="1" t="str">
        <f>"278.245,85"</f>
        <v>278.245,85</v>
      </c>
      <c r="G59" s="1" t="str">
        <f>CONCATENATE("01.02.2012.",CHAR(10),"15 dana, računajući od dana obostranog potpisa Ugovora")</f>
        <v>01.02.2012.
15 dana, računajući od dana obostranog potpisa Ugovora</v>
      </c>
      <c r="H59" s="1" t="str">
        <f>CONCATENATE("GRADNJAPROJEKT- ZAGREB D.O.O., ZAGREB")</f>
        <v>GRADNJAPROJEKT- ZAGREB D.O.O., ZAGREB</v>
      </c>
      <c r="I59" s="1" t="s">
        <v>54</v>
      </c>
      <c r="J59" s="1" t="str">
        <f>SUBSTITUTE(SUBSTITUTE(SUBSTITUTE("342,242.39",".","-"),",","."),"-",",")</f>
        <v>342.242,39</v>
      </c>
      <c r="K59" s="2"/>
    </row>
    <row r="60" spans="1:11" ht="47.25" x14ac:dyDescent="0.25">
      <c r="A60" s="1" t="str">
        <f>"55/2012"</f>
        <v>55/2012</v>
      </c>
      <c r="B60" s="1" t="s">
        <v>14</v>
      </c>
      <c r="C60" s="1" t="s">
        <v>1437</v>
      </c>
      <c r="D60" s="1" t="str">
        <f>CONCATENATE("EV-704-012/2011",CHAR(10),"N-30-V-144263-171111 od 21.11.2011.")</f>
        <v>EV-704-012/2011
N-30-V-144263-171111 od 21.11.2011.</v>
      </c>
      <c r="E60" s="1" t="s">
        <v>12</v>
      </c>
      <c r="F60" s="1" t="str">
        <f>"973.000,00"</f>
        <v>973.000,00</v>
      </c>
      <c r="G60" s="1" t="str">
        <f>CONCATENATE("01.02.2012.",CHAR(10),"90 dana od dana obostranog potpisa Ugovora")</f>
        <v>01.02.2012.
90 dana od dana obostranog potpisa Ugovora</v>
      </c>
      <c r="H60" s="1" t="str">
        <f>CONCATENATE("ARHITEKTONSKI FAKULTET SVEUČILIŠTA U ZAGREBU, ZAGREB")</f>
        <v>ARHITEKTONSKI FAKULTET SVEUČILIŠTA U ZAGREBU, ZAGREB</v>
      </c>
      <c r="I60" s="2"/>
      <c r="J60" s="1"/>
      <c r="K60" s="2"/>
    </row>
    <row r="61" spans="1:11" ht="63" x14ac:dyDescent="0.25">
      <c r="A61" s="1" t="str">
        <f>"56/2012"</f>
        <v>56/2012</v>
      </c>
      <c r="B61" s="1" t="s">
        <v>14</v>
      </c>
      <c r="C61" s="1" t="s">
        <v>1438</v>
      </c>
      <c r="D61" s="1" t="str">
        <f>CONCATENATE("EM-810-009/2011",CHAR(10),"N-16-M-146669-021211 od 05.12.2011.")</f>
        <v>EM-810-009/2011
N-16-M-146669-021211 od 05.12.2011.</v>
      </c>
      <c r="E61" s="1" t="s">
        <v>15</v>
      </c>
      <c r="F61" s="1" t="str">
        <f>"329.752,00"</f>
        <v>329.752,00</v>
      </c>
      <c r="G61" s="1" t="str">
        <f>CONCATENATE("01.02.2012.",CHAR(10),"50 dana, računajući od dana uvođenja u posao")</f>
        <v>01.02.2012.
50 dana, računajući od dana uvođenja u posao</v>
      </c>
      <c r="H61" s="1" t="str">
        <f>CONCATENATE("MANZIN-MONTAŽA D.O.O., ZAGREB")</f>
        <v>MANZIN-MONTAŽA D.O.O., ZAGREB</v>
      </c>
      <c r="I61" s="1" t="s">
        <v>55</v>
      </c>
      <c r="J61" s="1" t="str">
        <f>CONCATENATE(SUBSTITUTE(SUBSTITUTE(SUBSTITUTE("411,599.89",".","-"),",","."),"-",","),CHAR(10),"konačno plaćeni iznos veći je od ugovorenog radi promjene stope PDV-a")</f>
        <v>411.599,89
konačno plaćeni iznos veći je od ugovorenog radi promjene stope PDV-a</v>
      </c>
      <c r="K61" s="2"/>
    </row>
    <row r="62" spans="1:11" ht="47.25" x14ac:dyDescent="0.25">
      <c r="A62" s="1" t="str">
        <f>"58/2012"</f>
        <v>58/2012</v>
      </c>
      <c r="B62" s="1" t="s">
        <v>56</v>
      </c>
      <c r="C62" s="1" t="s">
        <v>1439</v>
      </c>
      <c r="D62" s="1" t="str">
        <f>"EM-242-009/2011"</f>
        <v>EM-242-009/2011</v>
      </c>
      <c r="E62" s="2"/>
      <c r="F62" s="1" t="str">
        <f>"0,00"</f>
        <v>0,00</v>
      </c>
      <c r="G62" s="1" t="str">
        <f>"02.02.2012."</f>
        <v>02.02.2012.</v>
      </c>
      <c r="H62" s="1" t="str">
        <f>CONCATENATE("IZBA MI D.O.O., DUGO SELO")</f>
        <v>IZBA MI D.O.O., DUGO SELO</v>
      </c>
      <c r="I62" s="2"/>
      <c r="J62" s="1"/>
      <c r="K62" s="2"/>
    </row>
    <row r="63" spans="1:11" ht="63" x14ac:dyDescent="0.25">
      <c r="A63" s="1" t="str">
        <f>"59/2012"</f>
        <v>59/2012</v>
      </c>
      <c r="B63" s="1" t="s">
        <v>14</v>
      </c>
      <c r="C63" s="1" t="s">
        <v>1440</v>
      </c>
      <c r="D63" s="1" t="str">
        <f>CONCATENATE("EM-765-012/2011",CHAR(10),"N-16-M-146194-301111 od 01.12.2011.")</f>
        <v>EM-765-012/2011
N-16-M-146194-301111 od 01.12.2011.</v>
      </c>
      <c r="E63" s="1" t="s">
        <v>15</v>
      </c>
      <c r="F63" s="1" t="str">
        <f>"29.200,00"</f>
        <v>29.200,00</v>
      </c>
      <c r="G63" s="1" t="str">
        <f>CONCATENATE("02.02.2012.",CHAR(10),"40 dana od dana obostranog potpisa Ugovora")</f>
        <v>02.02.2012.
40 dana od dana obostranog potpisa Ugovora</v>
      </c>
      <c r="H63" s="1" t="str">
        <f>CONCATENATE("PGT ŠKUNCA D.O.O., ZAGREB-SUSEDGRAD",CHAR(10),"GEORASTER D.O.O., ZAGREB")</f>
        <v>PGT ŠKUNCA D.O.O., ZAGREB-SUSEDGRAD
GEORASTER D.O.O., ZAGREB</v>
      </c>
      <c r="I63" s="2"/>
      <c r="J63" s="1"/>
      <c r="K63" s="2"/>
    </row>
    <row r="64" spans="1:11" ht="63" x14ac:dyDescent="0.25">
      <c r="A64" s="1" t="str">
        <f>"60/2012"</f>
        <v>60/2012</v>
      </c>
      <c r="B64" s="1" t="s">
        <v>14</v>
      </c>
      <c r="C64" s="1" t="s">
        <v>1441</v>
      </c>
      <c r="D64" s="1" t="str">
        <f>CONCATENATE("EM-699-012/2011",CHAR(10),"N-16-M-147500-081211 od 09.12.2011.")</f>
        <v>EM-699-012/2011
N-16-M-147500-081211 od 09.12.2011.</v>
      </c>
      <c r="E64" s="1" t="s">
        <v>15</v>
      </c>
      <c r="F64" s="1" t="str">
        <f>"30.610,50"</f>
        <v>30.610,50</v>
      </c>
      <c r="G64" s="1" t="str">
        <f>CONCATENATE("02.02.2012.",CHAR(10),"30 dana, računajući od dana uvođenja u posao")</f>
        <v>02.02.2012.
30 dana, računajući od dana uvođenja u posao</v>
      </c>
      <c r="H64" s="1" t="str">
        <f>CONCATENATE("ELEKTROCENTAR PETEK D.O.O., IVANIĆ-GRAD")</f>
        <v>ELEKTROCENTAR PETEK D.O.O., IVANIĆ-GRAD</v>
      </c>
      <c r="I64" s="1" t="s">
        <v>36</v>
      </c>
      <c r="J64" s="1" t="str">
        <f>CONCATENATE(SUBSTITUTE(SUBSTITUTE(SUBSTITUTE("38,263.13",".","-"),",","."),"-",","),CHAR(10),"konačno plaćeni iznos veći je od ugovorenog radi promjene stope PDV-a")</f>
        <v>38.263,13
konačno plaćeni iznos veći je od ugovorenog radi promjene stope PDV-a</v>
      </c>
      <c r="K64" s="2"/>
    </row>
    <row r="65" spans="1:11" ht="94.5" x14ac:dyDescent="0.25">
      <c r="A65" s="1" t="str">
        <f>"61/2012"</f>
        <v>61/2012</v>
      </c>
      <c r="B65" s="1" t="s">
        <v>11</v>
      </c>
      <c r="C65" s="1" t="s">
        <v>1442</v>
      </c>
      <c r="D65" s="1" t="str">
        <f>"EV-207-005/2010"</f>
        <v>EV-207-005/2010</v>
      </c>
      <c r="E65" s="2"/>
      <c r="F65" s="1" t="str">
        <f>"0,00"</f>
        <v>0,00</v>
      </c>
      <c r="G65" s="1" t="str">
        <f>CONCATENATE("02.02.2012.",CHAR(10),"kraj 2012. godine")</f>
        <v>02.02.2012.
kraj 2012. godine</v>
      </c>
      <c r="H65" s="1" t="str">
        <f>CONCATENATE("ELEKTRO GRAĐENJE D.O.O., ZAGREB")</f>
        <v>ELEKTRO GRAĐENJE D.O.O., ZAGREB</v>
      </c>
      <c r="I65" s="2"/>
      <c r="J65" s="1"/>
      <c r="K65" s="2"/>
    </row>
    <row r="66" spans="1:11" ht="94.5" x14ac:dyDescent="0.25">
      <c r="A66" s="1" t="str">
        <f>"62/2012"</f>
        <v>62/2012</v>
      </c>
      <c r="B66" s="1" t="s">
        <v>11</v>
      </c>
      <c r="C66" s="1" t="s">
        <v>1443</v>
      </c>
      <c r="D66" s="1" t="str">
        <f>"EV-217-005/2010"</f>
        <v>EV-217-005/2010</v>
      </c>
      <c r="E66" s="2"/>
      <c r="F66" s="1" t="str">
        <f>"0,00"</f>
        <v>0,00</v>
      </c>
      <c r="G66" s="1" t="str">
        <f>CONCATENATE("03.02.2012.",CHAR(10),"kraj 2012. godine")</f>
        <v>03.02.2012.
kraj 2012. godine</v>
      </c>
      <c r="H66" s="1" t="str">
        <f>CONCATENATE("ELEKTRO GRAĐENJE D.O.O., ZAGREB",CHAR(10),"JUKIĆ-DAM D.O.O., OTOK (DALMACIJA)")</f>
        <v>ELEKTRO GRAĐENJE D.O.O., ZAGREB
JUKIĆ-DAM D.O.O., OTOK (DALMACIJA)</v>
      </c>
      <c r="I66" s="2"/>
      <c r="J66" s="1"/>
      <c r="K66" s="2"/>
    </row>
    <row r="67" spans="1:11" ht="47.25" x14ac:dyDescent="0.25">
      <c r="A67" s="1" t="str">
        <f>"63/2012"</f>
        <v>63/2012</v>
      </c>
      <c r="B67" s="1" t="s">
        <v>11</v>
      </c>
      <c r="C67" s="1" t="s">
        <v>1444</v>
      </c>
      <c r="D67" s="1" t="str">
        <f>CONCATENATE("EM-510-012/2011",CHAR(10),"N-32-M-145273-241111 od 25.11.2011.")</f>
        <v>EM-510-012/2011
N-32-M-145273-241111 od 25.11.2011.</v>
      </c>
      <c r="E67" s="2"/>
      <c r="F67" s="1" t="str">
        <f>"13.900,00"</f>
        <v>13.900,00</v>
      </c>
      <c r="G67" s="1" t="str">
        <f>CONCATENATE("03.02.2012.",CHAR(10),"20 dana od dana potpisa Aneksa")</f>
        <v>03.02.2012.
20 dana od dana potpisa Aneksa</v>
      </c>
      <c r="H67" s="1" t="str">
        <f>CONCATENATE("BRAGRAD D.O.O., ZAGREB")</f>
        <v>BRAGRAD D.O.O., ZAGREB</v>
      </c>
      <c r="I67" s="1" t="s">
        <v>54</v>
      </c>
      <c r="J67" s="1" t="str">
        <f>SUBSTITUTE(SUBSTITUTE(SUBSTITUTE("17,097.00",".","-"),",","."),"-",",")</f>
        <v>17.097,00</v>
      </c>
      <c r="K67" s="2"/>
    </row>
    <row r="68" spans="1:11" ht="78.75" x14ac:dyDescent="0.25">
      <c r="A68" s="1" t="str">
        <f>"64/2012"</f>
        <v>64/2012</v>
      </c>
      <c r="B68" s="1" t="s">
        <v>14</v>
      </c>
      <c r="C68" s="1" t="s">
        <v>1445</v>
      </c>
      <c r="D68" s="1" t="str">
        <f>CONCATENATE("EV-512-012/2011",CHAR(10),"N-02-V-138333-041011 od 05.10.2011. te isp. broj: N-14-V-139957-171011 od 18.10.2011.")</f>
        <v>EV-512-012/2011
N-02-V-138333-041011 od 05.10.2011. te isp. broj: N-14-V-139957-171011 od 18.10.2011.</v>
      </c>
      <c r="E68" s="1" t="s">
        <v>15</v>
      </c>
      <c r="F68" s="1" t="str">
        <f>"1.536.898,68"</f>
        <v>1.536.898,68</v>
      </c>
      <c r="G68" s="1" t="str">
        <f>CONCATENATE("03.02.2012.",CHAR(10),"90 dana od dana uvođenja u posao")</f>
        <v>03.02.2012.
90 dana od dana uvođenja u posao</v>
      </c>
      <c r="H68" s="1" t="str">
        <f>CONCATENATE("SWIETELSKY D.O.O., ZAGREB",CHAR(10),"GEODETIKA D.O.O., ZAGREB")</f>
        <v>SWIETELSKY D.O.O., ZAGREB
GEODETIKA D.O.O., ZAGREB</v>
      </c>
      <c r="I68" s="2"/>
      <c r="J68" s="1"/>
      <c r="K68" s="2"/>
    </row>
    <row r="69" spans="1:11" ht="63" x14ac:dyDescent="0.25">
      <c r="A69" s="1" t="str">
        <f>"65/2012"</f>
        <v>65/2012</v>
      </c>
      <c r="B69" s="1" t="s">
        <v>14</v>
      </c>
      <c r="C69" s="1" t="s">
        <v>1446</v>
      </c>
      <c r="D69" s="1" t="str">
        <f>CONCATENATE("EM-477-009/2010",CHAR(10),"N-16-M-102401-210111 od 25.01.2011.")</f>
        <v>EM-477-009/2010
N-16-M-102401-210111 od 25.01.2011.</v>
      </c>
      <c r="E69" s="1" t="s">
        <v>15</v>
      </c>
      <c r="F69" s="1" t="str">
        <f>"447.272,00"</f>
        <v>447.272,00</v>
      </c>
      <c r="G69" s="1" t="str">
        <f>CONCATENATE("03.02.2012.",CHAR(10),"45 dana od dana uvođenja u posao")</f>
        <v>03.02.2012.
45 dana od dana uvođenja u posao</v>
      </c>
      <c r="H69" s="1" t="str">
        <f>CONCATENATE("STOLARIJA GOOOD D.O.O., OSIJEK")</f>
        <v>STOLARIJA GOOOD D.O.O., OSIJEK</v>
      </c>
      <c r="I69" s="1" t="s">
        <v>57</v>
      </c>
      <c r="J69" s="1" t="str">
        <f>CONCATENATE(SUBSTITUTE(SUBSTITUTE(SUBSTITUTE("551,588.93",".","-"),",","."),"-",","),CHAR(10),"konačno plaćeni iznos veći je od ugovorenog radi promjene stope PDV-a")</f>
        <v>551.588,93
konačno plaćeni iznos veći je od ugovorenog radi promjene stope PDV-a</v>
      </c>
      <c r="K69" s="2"/>
    </row>
    <row r="70" spans="1:11" ht="63" x14ac:dyDescent="0.25">
      <c r="A70" s="1" t="str">
        <f>"66/2012"</f>
        <v>66/2012</v>
      </c>
      <c r="B70" s="1" t="s">
        <v>14</v>
      </c>
      <c r="C70" s="1" t="s">
        <v>1447</v>
      </c>
      <c r="D70" s="1" t="str">
        <f>CONCATENATE("EM-732-022/2011",CHAR(10),"N-16-M-144593-211111 od 22.11.2011.")</f>
        <v>EM-732-022/2011
N-16-M-144593-211111 od 22.11.2011.</v>
      </c>
      <c r="E70" s="1" t="s">
        <v>15</v>
      </c>
      <c r="F70" s="1" t="str">
        <f>"298.675,20"</f>
        <v>298.675,20</v>
      </c>
      <c r="G70" s="1" t="str">
        <f>CONCATENATE("06.02.2012.",CHAR(10),"tjekom 12 mjeseci, a iznimno do sklapanja ugovora po novom javnom nadmetanju")</f>
        <v>06.02.2012.
tjekom 12 mjeseci, a iznimno do sklapanja ugovora po novom javnom nadmetanju</v>
      </c>
      <c r="H70" s="1" t="str">
        <f>CONCATENATE("SIEMENS D.D., ZAGREB")</f>
        <v>SIEMENS D.D., ZAGREB</v>
      </c>
      <c r="I70" s="1" t="s">
        <v>58</v>
      </c>
      <c r="J70" s="1" t="str">
        <f>SUBSTITUTE(SUBSTITUTE(SUBSTITUTE("318,260.22",".","-"),",","."),"-",",")</f>
        <v>318.260,22</v>
      </c>
      <c r="K70" s="2"/>
    </row>
    <row r="71" spans="1:11" ht="47.25" x14ac:dyDescent="0.25">
      <c r="A71" s="1" t="str">
        <f>"67/2012"</f>
        <v>67/2012</v>
      </c>
      <c r="B71" s="1" t="s">
        <v>14</v>
      </c>
      <c r="C71" s="1" t="s">
        <v>1448</v>
      </c>
      <c r="D71" s="1" t="str">
        <f>CONCATENATE("EM-719-012/2011",CHAR(10),"N-16-M-145000-221111 od 23.11.2011.")</f>
        <v>EM-719-012/2011
N-16-M-145000-221111 od 23.11.2011.</v>
      </c>
      <c r="E71" s="1" t="s">
        <v>15</v>
      </c>
      <c r="F71" s="1" t="str">
        <f>"20.800,00"</f>
        <v>20.800,00</v>
      </c>
      <c r="G71" s="1" t="str">
        <f>CONCATENATE("06.02.2012.",CHAR(10),"60 dana, računajući od dana obostranog potpisa Ugovora")</f>
        <v>06.02.2012.
60 dana, računajući od dana obostranog potpisa Ugovora</v>
      </c>
      <c r="H71" s="1" t="str">
        <f>CONCATENATE("IPT-INŽENJERING D.O.O., ZAGREB")</f>
        <v>IPT-INŽENJERING D.O.O., ZAGREB</v>
      </c>
      <c r="I71" s="2"/>
      <c r="J71" s="1"/>
      <c r="K71" s="2"/>
    </row>
    <row r="72" spans="1:11" ht="47.25" x14ac:dyDescent="0.25">
      <c r="A72" s="1" t="str">
        <f>"68/2012"</f>
        <v>68/2012</v>
      </c>
      <c r="B72" s="1" t="s">
        <v>14</v>
      </c>
      <c r="C72" s="1" t="s">
        <v>1449</v>
      </c>
      <c r="D72" s="1" t="str">
        <f>CONCATENATE("EV-572-012/2011",CHAR(10),"N-02-V-143073-101111 od 11.11.2011.")</f>
        <v>EV-572-012/2011
N-02-V-143073-101111 od 11.11.2011.</v>
      </c>
      <c r="E72" s="1" t="s">
        <v>15</v>
      </c>
      <c r="F72" s="1" t="str">
        <f>"2.874.138,39"</f>
        <v>2.874.138,39</v>
      </c>
      <c r="G72" s="1" t="str">
        <f>CONCATENATE("06.02.2012.",CHAR(10),"90 dana, računajući od dana uvođenja u posao")</f>
        <v>06.02.2012.
90 dana, računajući od dana uvođenja u posao</v>
      </c>
      <c r="H72" s="1" t="str">
        <f>CONCATENATE("TEH-GRADNJA D.O.O., ZAGREB")</f>
        <v>TEH-GRADNJA D.O.O., ZAGREB</v>
      </c>
      <c r="I72" s="1" t="s">
        <v>59</v>
      </c>
      <c r="J72" s="1" t="str">
        <f>SUBSTITUTE(SUBSTITUTE(SUBSTITUTE("3,495,216.44",".","-"),",","."),"-",",")</f>
        <v>3.495.216,44</v>
      </c>
      <c r="K72" s="2"/>
    </row>
    <row r="73" spans="1:11" ht="78.75" x14ac:dyDescent="0.25">
      <c r="A73" s="1" t="str">
        <f>"69/2012"</f>
        <v>69/2012</v>
      </c>
      <c r="B73" s="1" t="s">
        <v>14</v>
      </c>
      <c r="C73" s="1" t="s">
        <v>1450</v>
      </c>
      <c r="D73" s="1" t="str">
        <f>CONCATENATE("EV-650-012/2011",CHAR(10),"N-02-V-143680-151111 od 16.11.2011.")</f>
        <v>EV-650-012/2011
N-02-V-143680-151111 od 16.11.2011.</v>
      </c>
      <c r="E73" s="1" t="s">
        <v>15</v>
      </c>
      <c r="F73" s="1" t="str">
        <f>"288.815,00"</f>
        <v>288.815,00</v>
      </c>
      <c r="G73" s="1" t="str">
        <f>CONCATENATE("06.02.2012.",CHAR(10),"sukcesivno po potpisu ugovora, a prema kont. pis. nal. naručitelja do konz. ug  uz rok isp. 10 dana")</f>
        <v>06.02.2012.
sukcesivno po potpisu ugovora, a prema kont. pis. nal. naručitelja do konz. ug  uz rok isp. 10 dana</v>
      </c>
      <c r="H73" s="1" t="str">
        <f>CONCATENATE("LIPAPROMET D.O.O., ZAGREB")</f>
        <v>LIPAPROMET D.O.O., ZAGREB</v>
      </c>
      <c r="I73" s="1" t="s">
        <v>60</v>
      </c>
      <c r="J73" s="1" t="str">
        <f>CONCATENATE(SUBSTITUTE(SUBSTITUTE(SUBSTITUTE("360,964.50",".","-"),",","."),"-",","),CHAR(10),"konacno plaćeni iznos veći je od ugovorenog radi promjene stope PDV-a")</f>
        <v>360.964,50
konacno plaćeni iznos veći je od ugovorenog radi promjene stope PDV-a</v>
      </c>
      <c r="K73" s="2"/>
    </row>
    <row r="74" spans="1:11" ht="63" x14ac:dyDescent="0.25">
      <c r="A74" s="1" t="str">
        <f>"70/2012"</f>
        <v>70/2012</v>
      </c>
      <c r="B74" s="1" t="s">
        <v>14</v>
      </c>
      <c r="C74" s="1" t="s">
        <v>1451</v>
      </c>
      <c r="D74" s="1" t="str">
        <f>CONCATENATE("EM-795-012/2011",CHAR(10),"N-16-M-145326-241111 od 25.11.2011.")</f>
        <v>EM-795-012/2011
N-16-M-145326-241111 od 25.11.2011.</v>
      </c>
      <c r="E74" s="1" t="s">
        <v>15</v>
      </c>
      <c r="F74" s="1" t="str">
        <f>"87.000,00"</f>
        <v>87.000,00</v>
      </c>
      <c r="G74" s="1" t="str">
        <f>CONCATENATE("06.02.2012.",CHAR(10),"60 dana, računajući od dana potpisa Ugovora")</f>
        <v>06.02.2012.
60 dana, računajući od dana potpisa Ugovora</v>
      </c>
      <c r="H74" s="1" t="str">
        <f>CONCATENATE("AKING D.O.O., ZAGREB",CHAR(10),"TT INŽENJERING D.O.O., ZABOK",CHAR(10),"MARKIVA PROJEKT D.O.O., ZAGREB",CHAR(10),"SONUS D.O.O., ZAGREB")</f>
        <v>AKING D.O.O., ZAGREB
TT INŽENJERING D.O.O., ZABOK
MARKIVA PROJEKT D.O.O., ZAGREB
SONUS D.O.O., ZAGREB</v>
      </c>
      <c r="I74" s="1" t="s">
        <v>59</v>
      </c>
      <c r="J74" s="1" t="str">
        <f>CONCATENATE(SUBSTITUTE(SUBSTITUTE(SUBSTITUTE("107,250.00",".","-"),",","."),"-",","),CHAR(10),"konačno plaćeni iznos veći je od ugovorenog radi promjene stope PDV-a")</f>
        <v>107.250,00
konačno plaćeni iznos veći je od ugovorenog radi promjene stope PDV-a</v>
      </c>
      <c r="K74" s="2"/>
    </row>
    <row r="75" spans="1:11" ht="63" x14ac:dyDescent="0.25">
      <c r="A75" s="1" t="str">
        <f>"71/2012"</f>
        <v>71/2012</v>
      </c>
      <c r="B75" s="1" t="s">
        <v>14</v>
      </c>
      <c r="C75" s="1" t="s">
        <v>1452</v>
      </c>
      <c r="D75" s="1" t="str">
        <f>CONCATENATE("EM-944-022/2011",CHAR(10),"N-16-M-148024-121211 od 13.12.2011.")</f>
        <v>EM-944-022/2011
N-16-M-148024-121211 od 13.12.2011.</v>
      </c>
      <c r="E75" s="1" t="s">
        <v>15</v>
      </c>
      <c r="F75" s="1" t="str">
        <f>"81.000,00"</f>
        <v>81.000,00</v>
      </c>
      <c r="G75" s="1" t="str">
        <f>CONCATENATE("07.02.2012.",CHAR(10),"60 dana od dana obostranog potpisa Ugovora")</f>
        <v>07.02.2012.
60 dana od dana obostranog potpisa Ugovora</v>
      </c>
      <c r="H75" s="1" t="str">
        <f>CONCATENATE("INSTITUT ZA MEDICINSKA ISTRAŽIVANJA I MEDICINU RADA, ZAGREB")</f>
        <v>INSTITUT ZA MEDICINSKA ISTRAŽIVANJA I MEDICINU RADA, ZAGREB</v>
      </c>
      <c r="I75" s="1" t="s">
        <v>61</v>
      </c>
      <c r="J75" s="1" t="str">
        <f>CONCATENATE(SUBSTITUTE(SUBSTITUTE(SUBSTITUTE("101,250.00",".","-"),",","."),"-",","),CHAR(10),"konačno plaćeni iznos veći je od ugovorenog radi promjene stope PDV-a")</f>
        <v>101.250,00
konačno plaćeni iznos veći je od ugovorenog radi promjene stope PDV-a</v>
      </c>
      <c r="K75" s="2"/>
    </row>
    <row r="76" spans="1:11" ht="63" x14ac:dyDescent="0.25">
      <c r="A76" s="1" t="str">
        <f>"72/2012"</f>
        <v>72/2012</v>
      </c>
      <c r="B76" s="1" t="s">
        <v>14</v>
      </c>
      <c r="C76" s="1" t="s">
        <v>1453</v>
      </c>
      <c r="D76" s="1" t="str">
        <f>CONCATENATE("EM-345-012/2011.",CHAR(10),"N-16-M-132038-100811 od 11.08.2011.")</f>
        <v>EM-345-012/2011.
N-16-M-132038-100811 od 11.08.2011.</v>
      </c>
      <c r="E76" s="1" t="s">
        <v>15</v>
      </c>
      <c r="F76" s="1" t="str">
        <f>"37.055,00"</f>
        <v>37.055,00</v>
      </c>
      <c r="G76" s="1" t="str">
        <f>CONCATENATE("07.02.2012.",CHAR(10),"30 dana računajući od dana uvođenja u posao")</f>
        <v>07.02.2012.
30 dana računajući od dana uvođenja u posao</v>
      </c>
      <c r="H76" s="1" t="str">
        <f>CONCATENATE("MONTEL D.O.O., ZAGREB")</f>
        <v>MONTEL D.O.O., ZAGREB</v>
      </c>
      <c r="I76" s="1" t="s">
        <v>45</v>
      </c>
      <c r="J76" s="1" t="str">
        <f>CONCATENATE(SUBSTITUTE(SUBSTITUTE(SUBSTITUTE("45,980.00",".","-"),",","."),"-",","),CHAR(10),"konačno plaćeni iznos veći je od ugovorenog radi promjene stope PDV-a")</f>
        <v>45.980,00
konačno plaćeni iznos veći je od ugovorenog radi promjene stope PDV-a</v>
      </c>
      <c r="K76" s="2"/>
    </row>
    <row r="77" spans="1:11" ht="47.25" x14ac:dyDescent="0.25">
      <c r="A77" s="1" t="str">
        <f>"73/2012"</f>
        <v>73/2012</v>
      </c>
      <c r="B77" s="1" t="s">
        <v>14</v>
      </c>
      <c r="C77" s="1" t="s">
        <v>1454</v>
      </c>
      <c r="D77" s="1" t="str">
        <f>CONCATENATE("EM-580-022/2011",CHAR(10),"N-16-M-146957-051211 od 06.12.2011.")</f>
        <v>EM-580-022/2011
N-16-M-146957-051211 od 06.12.2011.</v>
      </c>
      <c r="E77" s="1" t="s">
        <v>15</v>
      </c>
      <c r="F77" s="1" t="str">
        <f>"166.750,00"</f>
        <v>166.750,00</v>
      </c>
      <c r="G77" s="1" t="str">
        <f>CONCATENATE("07.02.2012.",CHAR(10),"tijekom 12 mjeseci")</f>
        <v>07.02.2012.
tijekom 12 mjeseci</v>
      </c>
      <c r="H77" s="1" t="str">
        <f>CONCATENATE("M.D.B. D.O.O., VIŠKOVO")</f>
        <v>M.D.B. D.O.O., VIŠKOVO</v>
      </c>
      <c r="I77" s="1" t="s">
        <v>62</v>
      </c>
      <c r="J77" s="1" t="str">
        <f>SUBSTITUTE(SUBSTITUTE(SUBSTITUTE("147,723.28",".","-"),",","."),"-",",")</f>
        <v>147.723,28</v>
      </c>
      <c r="K77" s="2"/>
    </row>
    <row r="78" spans="1:11" ht="63" x14ac:dyDescent="0.25">
      <c r="A78" s="1" t="str">
        <f>"74/2012"</f>
        <v>74/2012</v>
      </c>
      <c r="B78" s="1" t="s">
        <v>14</v>
      </c>
      <c r="C78" s="1" t="s">
        <v>1455</v>
      </c>
      <c r="D78" s="1" t="str">
        <f>CONCATENATE("EM-778-012/2011.",CHAR(10),"N-16-M-148573-141211 od 15.12.2011.")</f>
        <v>EM-778-012/2011.
N-16-M-148573-141211 od 15.12.2011.</v>
      </c>
      <c r="E78" s="1" t="s">
        <v>15</v>
      </c>
      <c r="F78" s="1" t="str">
        <f>"42.500,00"</f>
        <v>42.500,00</v>
      </c>
      <c r="G78" s="1" t="str">
        <f>CONCATENATE("07.02.2012.",CHAR(10),"45 dana, računajući od dana potpisa Ugovora")</f>
        <v>07.02.2012.
45 dana, računajući od dana potpisa Ugovora</v>
      </c>
      <c r="H78" s="1" t="str">
        <f>CONCATENATE("PGT ŠKUNCA D.O.O., ZAGREB-SUSEDGRAD",CHAR(10),"GEORASTER D.O.O., ZAGREB")</f>
        <v>PGT ŠKUNCA D.O.O., ZAGREB-SUSEDGRAD
GEORASTER D.O.O., ZAGREB</v>
      </c>
      <c r="I78" s="1" t="s">
        <v>63</v>
      </c>
      <c r="J78" s="1" t="str">
        <f>CONCATENATE(SUBSTITUTE(SUBSTITUTE(SUBSTITUTE("53,125.00",".","-"),",","."),"-",","),CHAR(10),"konačno plaćeni iznos veći je od ugovorenog radi promjene stope PDV-a")</f>
        <v>53.125,00
konačno plaćeni iznos veći je od ugovorenog radi promjene stope PDV-a</v>
      </c>
      <c r="K78" s="2"/>
    </row>
    <row r="79" spans="1:11" ht="47.25" x14ac:dyDescent="0.25">
      <c r="A79" s="1" t="str">
        <f>"75/2012"</f>
        <v>75/2012</v>
      </c>
      <c r="B79" s="1" t="s">
        <v>14</v>
      </c>
      <c r="C79" s="1" t="s">
        <v>1456</v>
      </c>
      <c r="D79" s="1" t="str">
        <f>CONCATENATE("EV-831-009/2011.",CHAR(10),"N-30-V-152486-301211 od 02.01.2012.")</f>
        <v>EV-831-009/2011.
N-30-V-152486-301211 od 02.01.2012.</v>
      </c>
      <c r="E79" s="1" t="s">
        <v>40</v>
      </c>
      <c r="F79" s="1" t="str">
        <f>"222.264,00"</f>
        <v>222.264,00</v>
      </c>
      <c r="G79" s="1" t="str">
        <f>CONCATENATE("08.02.2012.",CHAR(10),"do 28. veljače 2013.")</f>
        <v>08.02.2012.
do 28. veljače 2013.</v>
      </c>
      <c r="H79" s="1" t="str">
        <f>CONCATENATE("ZAŠTITA-ZAGREB D.D., ZAGREB")</f>
        <v>ZAŠTITA-ZAGREB D.D., ZAGREB</v>
      </c>
      <c r="I79" s="1" t="s">
        <v>51</v>
      </c>
      <c r="J79" s="1" t="str">
        <f>SUBSTITUTE(SUBSTITUTE(SUBSTITUTE("268,397.50",".","-"),",","."),"-",",")</f>
        <v>268.397,50</v>
      </c>
      <c r="K79" s="2"/>
    </row>
    <row r="80" spans="1:11" ht="47.25" x14ac:dyDescent="0.25">
      <c r="A80" s="1" t="str">
        <f>"76/2012"</f>
        <v>76/2012</v>
      </c>
      <c r="B80" s="1" t="s">
        <v>14</v>
      </c>
      <c r="C80" s="1" t="s">
        <v>1457</v>
      </c>
      <c r="D80" s="1" t="str">
        <f>CONCATENATE("EM-656-012/2011",CHAR(10),"N-16-M-142701-081111 od 09.11.2011.")</f>
        <v>EM-656-012/2011
N-16-M-142701-081111 od 09.11.2011.</v>
      </c>
      <c r="E80" s="1" t="s">
        <v>15</v>
      </c>
      <c r="F80" s="1" t="str">
        <f>"138.840,00"</f>
        <v>138.840,00</v>
      </c>
      <c r="G80" s="1" t="str">
        <f>CONCATENATE("08.02.2012.",CHAR(10),"90 dana, računajući od dana obostranog potpisa Ugovora")</f>
        <v>08.02.2012.
90 dana, računajući od dana obostranog potpisa Ugovora</v>
      </c>
      <c r="H80" s="1" t="str">
        <f>CONCATENATE("GEOKON-ZAGREB D.D., ZAGREB",CHAR(10),"REPER PLUS D.O.O., ZAGREB")</f>
        <v>GEOKON-ZAGREB D.D., ZAGREB
REPER PLUS D.O.O., ZAGREB</v>
      </c>
      <c r="I80" s="2"/>
      <c r="J80" s="1"/>
      <c r="K80" s="2"/>
    </row>
    <row r="81" spans="1:11" ht="47.25" x14ac:dyDescent="0.25">
      <c r="A81" s="1" t="str">
        <f>"77/2012"</f>
        <v>77/2012</v>
      </c>
      <c r="B81" s="1" t="s">
        <v>14</v>
      </c>
      <c r="C81" s="1" t="s">
        <v>1458</v>
      </c>
      <c r="D81" s="1" t="str">
        <f>CONCATENATE("EM-771-009/2011",CHAR(10),"N-16-M-145565-251111 od 28.11.2011.")</f>
        <v>EM-771-009/2011
N-16-M-145565-251111 od 28.11.2011.</v>
      </c>
      <c r="E81" s="1" t="s">
        <v>15</v>
      </c>
      <c r="F81" s="1" t="str">
        <f>"222.698,00"</f>
        <v>222.698,00</v>
      </c>
      <c r="G81" s="1" t="str">
        <f>CONCATENATE("08.02.2012.",CHAR(10),"50 dana od dana uvođenja u posao")</f>
        <v>08.02.2012.
50 dana od dana uvođenja u posao</v>
      </c>
      <c r="H81" s="1" t="str">
        <f>CONCATENATE("TERMOINŽENJERING-MONTAŽA D.D., DONJA BISTRA")</f>
        <v>TERMOINŽENJERING-MONTAŽA D.D., DONJA BISTRA</v>
      </c>
      <c r="I81" s="1" t="s">
        <v>64</v>
      </c>
      <c r="J81" s="1" t="str">
        <f>SUBSTITUTE(SUBSTITUTE(SUBSTITUTE("186,203.55",".","-"),",","."),"-",",")</f>
        <v>186.203,55</v>
      </c>
      <c r="K81" s="2"/>
    </row>
    <row r="82" spans="1:11" ht="78.75" x14ac:dyDescent="0.25">
      <c r="A82" s="1" t="str">
        <f>"78/2012"</f>
        <v>78/2012</v>
      </c>
      <c r="B82" s="1" t="s">
        <v>14</v>
      </c>
      <c r="C82" s="1" t="s">
        <v>1459</v>
      </c>
      <c r="D82" s="1" t="str">
        <f>CONCATENATE("EM-660-012/2011",CHAR(10),"N-16-M-145034-231111 od 24.11.2011.")</f>
        <v>EM-660-012/2011
N-16-M-145034-231111 od 24.11.2011.</v>
      </c>
      <c r="E82" s="1" t="s">
        <v>15</v>
      </c>
      <c r="F82" s="1" t="str">
        <f>"249.500,00"</f>
        <v>249.500,00</v>
      </c>
      <c r="G82" s="1" t="str">
        <f>CONCATENATE("08.02.2012.",CHAR(10),"150 dana od dana obostranog potpisa ugovora")</f>
        <v>08.02.2012.
150 dana od dana obostranog potpisa ugovora</v>
      </c>
      <c r="H82" s="1" t="str">
        <f>CONCATENATE("BAŠTINA D.O.O., ZAGREB",CHAR(10),"GEOEXPERT-GTB D.O.O., ZAGREB",CHAR(10),"ARHITEKTONSKI FAKULTET SVEUČILIŠTA U ZAGREBU, ZAGREB",CHAR(10),"PROJEKTING  1970 D.O.O., ZAGREB")</f>
        <v>BAŠTINA D.O.O., ZAGREB
GEOEXPERT-GTB D.O.O., ZAGREB
ARHITEKTONSKI FAKULTET SVEUČILIŠTA U ZAGREBU, ZAGREB
PROJEKTING  1970 D.O.O., ZAGREB</v>
      </c>
      <c r="I82" s="1" t="s">
        <v>65</v>
      </c>
      <c r="J82" s="1" t="str">
        <f>CONCATENATE(SUBSTITUTE(SUBSTITUTE(SUBSTITUTE("311,875.00",".","-"),",","."),"-",","),CHAR(10),"konačno plaćeni iznos veći je od ugovorenog radi promjene stope PDV-a")</f>
        <v>311.875,00
konačno plaćeni iznos veći je od ugovorenog radi promjene stope PDV-a</v>
      </c>
      <c r="K82" s="2"/>
    </row>
    <row r="83" spans="1:11" ht="63" x14ac:dyDescent="0.25">
      <c r="A83" s="1" t="str">
        <f>"79/2012"</f>
        <v>79/2012</v>
      </c>
      <c r="B83" s="1" t="s">
        <v>14</v>
      </c>
      <c r="C83" s="1" t="s">
        <v>1460</v>
      </c>
      <c r="D83" s="1" t="str">
        <f>CONCATENATE("EM-763-012/2011",CHAR(10),"N-16-M-147373-071211 od 08.12.2011.")</f>
        <v>EM-763-012/2011
N-16-M-147373-071211 od 08.12.2011.</v>
      </c>
      <c r="E83" s="1" t="s">
        <v>15</v>
      </c>
      <c r="F83" s="1" t="str">
        <f>"119.000,00"</f>
        <v>119.000,00</v>
      </c>
      <c r="G83" s="1" t="str">
        <f>CONCATENATE("08.02.2012.",CHAR(10),"60 dana, računajući od dana obostranog potpisa Ugovora")</f>
        <v>08.02.2012.
60 dana, računajući od dana obostranog potpisa Ugovora</v>
      </c>
      <c r="H83" s="1" t="str">
        <f>CONCATENATE("DARH 2 D.O.O., SAMOBOR")</f>
        <v>DARH 2 D.O.O., SAMOBOR</v>
      </c>
      <c r="I83" s="1" t="s">
        <v>66</v>
      </c>
      <c r="J83" s="1" t="str">
        <f>CONCATENATE(SUBSTITUTE(SUBSTITUTE(SUBSTITUTE("148,750.00",".","-"),",","."),"-",","),CHAR(10),"konačno plaćeni iznos veći je od ugovorenog radi promjene stope PDV-a")</f>
        <v>148.750,00
konačno plaćeni iznos veći je od ugovorenog radi promjene stope PDV-a</v>
      </c>
      <c r="K83" s="2"/>
    </row>
    <row r="84" spans="1:11" ht="47.25" x14ac:dyDescent="0.25">
      <c r="A84" s="1" t="str">
        <f>"80/2012"</f>
        <v>80/2012</v>
      </c>
      <c r="B84" s="1" t="s">
        <v>14</v>
      </c>
      <c r="C84" s="1" t="s">
        <v>1461</v>
      </c>
      <c r="D84" s="1" t="str">
        <f>CONCATENATE("EM-708-012/2011",CHAR(10),"N-16-M-146490-011211 od 02.12.2011.")</f>
        <v>EM-708-012/2011
N-16-M-146490-011211 od 02.12.2011.</v>
      </c>
      <c r="E84" s="1" t="s">
        <v>15</v>
      </c>
      <c r="F84" s="1" t="str">
        <f>"294.103,20"</f>
        <v>294.103,20</v>
      </c>
      <c r="G84" s="1" t="str">
        <f>CONCATENATE("09.02.2012.",CHAR(10),"30 dana od dana uvođenja u posao")</f>
        <v>09.02.2012.
30 dana od dana uvođenja u posao</v>
      </c>
      <c r="H84" s="1" t="str">
        <f>CONCATENATE("GRADEL D.O.O., VELIKA GORICA")</f>
        <v>GRADEL D.O.O., VELIKA GORICA</v>
      </c>
      <c r="I84" s="1" t="s">
        <v>42</v>
      </c>
      <c r="J84" s="1" t="str">
        <f>SUBSTITUTE(SUBSTITUTE(SUBSTITUTE("252,754.06",".","-"),",","."),"-",",")</f>
        <v>252.754,06</v>
      </c>
      <c r="K84" s="2"/>
    </row>
    <row r="85" spans="1:11" ht="63" x14ac:dyDescent="0.25">
      <c r="A85" s="1" t="str">
        <f>"81/2012"</f>
        <v>81/2012</v>
      </c>
      <c r="B85" s="1" t="s">
        <v>14</v>
      </c>
      <c r="C85" s="1" t="s">
        <v>1462</v>
      </c>
      <c r="D85" s="1" t="str">
        <f>CONCATENATE("EM-962-022/2011",CHAR(10),"N-16-M-148910-151211 od 16.12.2011.")</f>
        <v>EM-962-022/2011
N-16-M-148910-151211 od 16.12.2011.</v>
      </c>
      <c r="E85" s="1" t="s">
        <v>15</v>
      </c>
      <c r="F85" s="1" t="str">
        <f>"120.000,00"</f>
        <v>120.000,00</v>
      </c>
      <c r="G85" s="1" t="str">
        <f>CONCATENATE("09.02.2012.",CHAR(10),"60 dana od dana obostranog potpisa Ugovora")</f>
        <v>09.02.2012.
60 dana od dana obostranog potpisa Ugovora</v>
      </c>
      <c r="H85" s="1" t="str">
        <f>CONCATENATE("LJAMA STUDIO D.O.O., ZAGREB")</f>
        <v>LJAMA STUDIO D.O.O., ZAGREB</v>
      </c>
      <c r="I85" s="1" t="s">
        <v>50</v>
      </c>
      <c r="J85" s="1" t="str">
        <f>CONCATENATE(SUBSTITUTE(SUBSTITUTE(SUBSTITUTE("150,000.00",".","-"),",","."),"-",","),CHAR(10),"konačno plaćeni iznos veći je od ugovorenog radi promjene stope PDV-a")</f>
        <v>150.000,00
konačno plaćeni iznos veći je od ugovorenog radi promjene stope PDV-a</v>
      </c>
      <c r="K85" s="2"/>
    </row>
    <row r="86" spans="1:11" ht="47.25" x14ac:dyDescent="0.25">
      <c r="A86" s="1" t="str">
        <f>"82/2012"</f>
        <v>82/2012</v>
      </c>
      <c r="B86" s="1" t="s">
        <v>11</v>
      </c>
      <c r="C86" s="1" t="s">
        <v>1463</v>
      </c>
      <c r="D86" s="1" t="str">
        <f>"EM-681-009/2011"</f>
        <v>EM-681-009/2011</v>
      </c>
      <c r="E86" s="2"/>
      <c r="F86" s="1" t="str">
        <f>"0,00"</f>
        <v>0,00</v>
      </c>
      <c r="G86" s="1" t="str">
        <f>CONCATENATE("09.02.2012.",CHAR(10),"90 dana tj. do završetka radova na uređenju objekta")</f>
        <v>09.02.2012.
90 dana tj. do završetka radova na uređenju objekta</v>
      </c>
      <c r="H86" s="1" t="str">
        <f>CONCATENATE("SLIV OPREMA D.O.O., ZAGREB")</f>
        <v>SLIV OPREMA D.O.O., ZAGREB</v>
      </c>
      <c r="I86" s="2"/>
      <c r="J86" s="1"/>
      <c r="K86" s="2"/>
    </row>
    <row r="87" spans="1:11" ht="47.25" x14ac:dyDescent="0.25">
      <c r="A87" s="1" t="str">
        <f>"83/2012"</f>
        <v>83/2012</v>
      </c>
      <c r="B87" s="1" t="s">
        <v>14</v>
      </c>
      <c r="C87" s="1" t="s">
        <v>1464</v>
      </c>
      <c r="D87" s="1" t="str">
        <f>CONCATENATE("EV-685-012/2011",CHAR(10),"N-02-V-142853-091111 od 10.11.2011.")</f>
        <v>EV-685-012/2011
N-02-V-142853-091111 od 10.11.2011.</v>
      </c>
      <c r="E87" s="1" t="s">
        <v>15</v>
      </c>
      <c r="F87" s="1" t="str">
        <f>"1.071.614,00"</f>
        <v>1.071.614,00</v>
      </c>
      <c r="G87" s="1" t="str">
        <f>CONCATENATE("09.02.2012.",CHAR(10),"90 dana od dana uvođenja u posao")</f>
        <v>09.02.2012.
90 dana od dana uvođenja u posao</v>
      </c>
      <c r="H87" s="1" t="str">
        <f>CONCATENATE("AMB GRADNJA D.O.O., ZAGREB",CHAR(10),"GEO OMEGA D.O.O., ZAGREB")</f>
        <v>AMB GRADNJA D.O.O., ZAGREB
GEO OMEGA D.O.O., ZAGREB</v>
      </c>
      <c r="I87" s="2"/>
      <c r="J87" s="1"/>
      <c r="K87" s="2"/>
    </row>
    <row r="88" spans="1:11" ht="78.75" x14ac:dyDescent="0.25">
      <c r="A88" s="1" t="str">
        <f>"84/2012"</f>
        <v>84/2012</v>
      </c>
      <c r="B88" s="1" t="s">
        <v>14</v>
      </c>
      <c r="C88" s="1" t="s">
        <v>1465</v>
      </c>
      <c r="D88" s="1" t="str">
        <f>CONCATENATE("EM-952-012/2011",CHAR(10),"N-16-M-147638-081211 od 09.12.2011.")</f>
        <v>EM-952-012/2011
N-16-M-147638-081211 od 09.12.2011.</v>
      </c>
      <c r="E88" s="1" t="s">
        <v>15</v>
      </c>
      <c r="F88" s="1" t="str">
        <f>"239.100,00"</f>
        <v>239.100,00</v>
      </c>
      <c r="G88" s="1" t="str">
        <f>CONCATENATE("09.02.2012.",CHAR(10),"60 dana, rač. od dana obost. potpisa ug. za idejni proj. i 30 dana od ishođ. lok.dozvole za gl.pr.")</f>
        <v>09.02.2012.
60 dana, rač. od dana obost. potpisa ug. za idejni proj. i 30 dana od ishođ. lok.dozvole za gl.pr.</v>
      </c>
      <c r="H88" s="1" t="str">
        <f>CONCATENATE("GEOEXPERT-GTB D.O.O., ZAGREB")</f>
        <v>GEOEXPERT-GTB D.O.O., ZAGREB</v>
      </c>
      <c r="I88" s="2"/>
      <c r="J88" s="1"/>
      <c r="K88" s="2"/>
    </row>
    <row r="89" spans="1:11" ht="63" x14ac:dyDescent="0.25">
      <c r="A89" s="1" t="str">
        <f>"85/2012"</f>
        <v>85/2012</v>
      </c>
      <c r="B89" s="1" t="s">
        <v>14</v>
      </c>
      <c r="C89" s="1" t="s">
        <v>1466</v>
      </c>
      <c r="D89" s="1" t="str">
        <f>CONCATENATE("EV-527-004/2011",CHAR(10),"N-02-V-133573-260811 od 29.08.2011.")</f>
        <v>EV-527-004/2011
N-02-V-133573-260811 od 29.08.2011.</v>
      </c>
      <c r="E89" s="1" t="s">
        <v>15</v>
      </c>
      <c r="F89" s="1" t="str">
        <f>"810.000,00"</f>
        <v>810.000,00</v>
      </c>
      <c r="G89" s="1" t="str">
        <f>CONCATENATE("09.02.2012.",CHAR(10),"90 dana, računajući od dana obostranog potpisa Ugovora")</f>
        <v>09.02.2012.
90 dana, računajući od dana obostranog potpisa Ugovora</v>
      </c>
      <c r="H89" s="1" t="str">
        <f>CONCATENATE("GISDATA D.O.O., ZAGREB",CHAR(10),"GEODIS BRNO SPOL S R. O., BRNO",CHAR(10),"GEO-GAUSS D.O.O., ČAKOVEC")</f>
        <v>GISDATA D.O.O., ZAGREB
GEODIS BRNO SPOL S R. O., BRNO
GEO-GAUSS D.O.O., ČAKOVEC</v>
      </c>
      <c r="I89" s="1" t="s">
        <v>33</v>
      </c>
      <c r="J89" s="1" t="str">
        <f>CONCATENATE(SUBSTITUTE(SUBSTITUTE(SUBSTITUTE("1,012,500.00",".","-"),",","."),"-",","),CHAR(10),"konacno plaćeni iznos veći je od ugovorenog radi promjene stope PDV-a ")</f>
        <v xml:space="preserve">1.012.500,00
konacno plaćeni iznos veći je od ugovorenog radi promjene stope PDV-a </v>
      </c>
      <c r="K89" s="2"/>
    </row>
    <row r="90" spans="1:11" ht="47.25" x14ac:dyDescent="0.25">
      <c r="A90" s="1" t="str">
        <f>"86/2012"</f>
        <v>86/2012</v>
      </c>
      <c r="B90" s="1" t="s">
        <v>14</v>
      </c>
      <c r="C90" s="1" t="s">
        <v>1467</v>
      </c>
      <c r="D90" s="1" t="str">
        <f>CONCATENATE("EM-766-012/2011",CHAR(10),"N-16-M-146656-021211 od 05.12.2011.")</f>
        <v>EM-766-012/2011
N-16-M-146656-021211 od 05.12.2011.</v>
      </c>
      <c r="E90" s="1" t="s">
        <v>15</v>
      </c>
      <c r="F90" s="1" t="str">
        <f>"338.804,20"</f>
        <v>338.804,20</v>
      </c>
      <c r="G90" s="1" t="str">
        <f>CONCATENATE("09.02.2012.",CHAR(10),"60 dana, računajući od dana uvođenja u posao")</f>
        <v>09.02.2012.
60 dana, računajući od dana uvođenja u posao</v>
      </c>
      <c r="H90" s="1" t="str">
        <f>CONCATENATE("PEEK PROMET D.O.O., ZAGREB",CHAR(10),"TRAFFICON D.O.O., ZAGREB")</f>
        <v>PEEK PROMET D.O.O., ZAGREB
TRAFFICON D.O.O., ZAGREB</v>
      </c>
      <c r="I90" s="1" t="s">
        <v>67</v>
      </c>
      <c r="J90" s="1" t="str">
        <f>SUBSTITUTE(SUBSTITUTE(SUBSTITUTE("304,189.23",".","-"),",","."),"-",",")</f>
        <v>304.189,23</v>
      </c>
      <c r="K90" s="2"/>
    </row>
    <row r="91" spans="1:11" ht="63" x14ac:dyDescent="0.25">
      <c r="A91" s="1" t="str">
        <f>"87/2012"</f>
        <v>87/2012</v>
      </c>
      <c r="B91" s="1" t="s">
        <v>14</v>
      </c>
      <c r="C91" s="1" t="s">
        <v>1468</v>
      </c>
      <c r="D91" s="1" t="str">
        <f>CONCATENATE("EM-701-012/2011",CHAR(10),"N-16-M-146184-301111 od 01.12.2011.")</f>
        <v>EM-701-012/2011
N-16-M-146184-301111 od 01.12.2011.</v>
      </c>
      <c r="E91" s="1" t="s">
        <v>15</v>
      </c>
      <c r="F91" s="1" t="str">
        <f>"24.500,00"</f>
        <v>24.500,00</v>
      </c>
      <c r="G91" s="1" t="str">
        <f>CONCATENATE("10.02.2012.",CHAR(10),"30 dana, računajući od dana obostranog potpisa Ugovora")</f>
        <v>10.02.2012.
30 dana, računajući od dana obostranog potpisa Ugovora</v>
      </c>
      <c r="H91" s="1" t="str">
        <f>CONCATENATE("DALEKOVOD-PROJEKT D.O.O., ZAGREB")</f>
        <v>DALEKOVOD-PROJEKT D.O.O., ZAGREB</v>
      </c>
      <c r="I91" s="2"/>
      <c r="J91" s="1"/>
      <c r="K91" s="2"/>
    </row>
    <row r="92" spans="1:11" ht="47.25" x14ac:dyDescent="0.25">
      <c r="A92" s="1" t="str">
        <f>"88/2012"</f>
        <v>88/2012</v>
      </c>
      <c r="B92" s="1" t="s">
        <v>14</v>
      </c>
      <c r="C92" s="1" t="s">
        <v>1469</v>
      </c>
      <c r="D92" s="1" t="str">
        <f>CONCATENATE("EV-584-012/2011",CHAR(10),"N-02-V-143177-101111 od 11.11.2011.")</f>
        <v>EV-584-012/2011
N-02-V-143177-101111 od 11.11.2011.</v>
      </c>
      <c r="E92" s="1" t="s">
        <v>15</v>
      </c>
      <c r="F92" s="1" t="str">
        <f>"186.600,00"</f>
        <v>186.600,00</v>
      </c>
      <c r="G92" s="1" t="str">
        <f>CONCATENATE("10.02.2012.",CHAR(10),"60 dana, računajući od dana obostranog potpisa Ugovora")</f>
        <v>10.02.2012.
60 dana, računajući od dana obostranog potpisa Ugovora</v>
      </c>
      <c r="H92" s="1" t="str">
        <f>CONCATENATE("HIDROELEKTRA-PROJEKT D.O.O., ZAGREB")</f>
        <v>HIDROELEKTRA-PROJEKT D.O.O., ZAGREB</v>
      </c>
      <c r="I92" s="2"/>
      <c r="J92" s="1"/>
      <c r="K92" s="2"/>
    </row>
    <row r="93" spans="1:11" ht="63" x14ac:dyDescent="0.25">
      <c r="A93" s="1" t="str">
        <f>"89/2012"</f>
        <v>89/2012</v>
      </c>
      <c r="B93" s="1" t="s">
        <v>14</v>
      </c>
      <c r="C93" s="1" t="s">
        <v>1470</v>
      </c>
      <c r="D93" s="1" t="str">
        <f>CONCATENATE("EM-951-022/2011",CHAR(10),"N-16-M-147305-071211 od 08.12.2011.")</f>
        <v>EM-951-022/2011
N-16-M-147305-071211 od 08.12.2011.</v>
      </c>
      <c r="E93" s="1" t="s">
        <v>15</v>
      </c>
      <c r="F93" s="1" t="str">
        <f>"79.500,00"</f>
        <v>79.500,00</v>
      </c>
      <c r="G93" s="1" t="str">
        <f>CONCATENATE("10.02.2012.",CHAR(10),"90 dana, računajući od dana potpisa Ugovora")</f>
        <v>10.02.2012.
90 dana, računajući od dana potpisa Ugovora</v>
      </c>
      <c r="H93" s="1" t="str">
        <f>CONCATENATE("BRODARSKI INSTITUT D.O.O., ZAGREB-NOVI ZAGREB")</f>
        <v>BRODARSKI INSTITUT D.O.O., ZAGREB-NOVI ZAGREB</v>
      </c>
      <c r="I93" s="1" t="s">
        <v>68</v>
      </c>
      <c r="J93" s="1" t="str">
        <f>CONCATENATE(SUBSTITUTE(SUBSTITUTE(SUBSTITUTE("99,375.00",".","-"),",","."),"-",","),CHAR(10),"konačno plaćeni iznos veći je od ugovorenog radi promjene stope PDV-a")</f>
        <v>99.375,00
konačno plaćeni iznos veći je od ugovorenog radi promjene stope PDV-a</v>
      </c>
      <c r="K93" s="2"/>
    </row>
    <row r="94" spans="1:11" ht="47.25" x14ac:dyDescent="0.25">
      <c r="A94" s="1" t="str">
        <f>"90/2012"</f>
        <v>90/2012</v>
      </c>
      <c r="B94" s="1" t="s">
        <v>14</v>
      </c>
      <c r="C94" s="1" t="s">
        <v>1471</v>
      </c>
      <c r="D94" s="1" t="str">
        <f>CONCATENATE("EM-722-012/2011",CHAR(10),"N-16-M-148146-121211 od 13.12.2011.")</f>
        <v>EM-722-012/2011
N-16-M-148146-121211 od 13.12.2011.</v>
      </c>
      <c r="E94" s="1" t="s">
        <v>15</v>
      </c>
      <c r="F94" s="1" t="str">
        <f>"136.729,00"</f>
        <v>136.729,00</v>
      </c>
      <c r="G94" s="1" t="str">
        <f>CONCATENATE("10.02.2012.",CHAR(10),"30 dana, računajući od dana uvođenja u posao")</f>
        <v>10.02.2012.
30 dana, računajući od dana uvođenja u posao</v>
      </c>
      <c r="H94" s="1" t="str">
        <f>CONCATENATE("TRSTENIK ELEKTRONIKA D.O.O., SESVETE-KRALJEVEC")</f>
        <v>TRSTENIK ELEKTRONIKA D.O.O., SESVETE-KRALJEVEC</v>
      </c>
      <c r="I94" s="2"/>
      <c r="J94" s="1"/>
      <c r="K94" s="2"/>
    </row>
    <row r="95" spans="1:11" ht="47.25" x14ac:dyDescent="0.25">
      <c r="A95" s="1" t="str">
        <f>"91/2012"</f>
        <v>91/2012</v>
      </c>
      <c r="B95" s="1" t="s">
        <v>14</v>
      </c>
      <c r="C95" s="1" t="s">
        <v>1472</v>
      </c>
      <c r="D95" s="1" t="str">
        <f>CONCATENATE("EM-571-012/2011",CHAR(10),"N-16-M-142706-081111 od 09.11.2011.")</f>
        <v>EM-571-012/2011
N-16-M-142706-081111 od 09.11.2011.</v>
      </c>
      <c r="E95" s="1" t="s">
        <v>15</v>
      </c>
      <c r="F95" s="1" t="str">
        <f>"87.360,60"</f>
        <v>87.360,60</v>
      </c>
      <c r="G95" s="1" t="str">
        <f>CONCATENATE("10.02.2012.",CHAR(10),"30 dana, računajući od dana uvođenja u posao")</f>
        <v>10.02.2012.
30 dana, računajući od dana uvođenja u posao</v>
      </c>
      <c r="H95" s="1" t="str">
        <f>CONCATENATE("TRSTENIK ELEKTRONIKA D.O.O., SESVETE-KRALJEVEC")</f>
        <v>TRSTENIK ELEKTRONIKA D.O.O., SESVETE-KRALJEVEC</v>
      </c>
      <c r="I95" s="2"/>
      <c r="J95" s="1"/>
      <c r="K95" s="2"/>
    </row>
    <row r="96" spans="1:11" ht="47.25" x14ac:dyDescent="0.25">
      <c r="A96" s="1" t="str">
        <f>"92/2012"</f>
        <v>92/2012</v>
      </c>
      <c r="B96" s="1" t="s">
        <v>14</v>
      </c>
      <c r="C96" s="1" t="s">
        <v>1473</v>
      </c>
      <c r="D96" s="1" t="str">
        <f>CONCATENATE("EM-583-012/2011",CHAR(10),"N-16-M-144238-171111 od 18.11.2011.")</f>
        <v>EM-583-012/2011
N-16-M-144238-171111 od 18.11.2011.</v>
      </c>
      <c r="E96" s="1" t="s">
        <v>15</v>
      </c>
      <c r="F96" s="1" t="str">
        <f>"44.400,00"</f>
        <v>44.400,00</v>
      </c>
      <c r="G96" s="1" t="str">
        <f>CONCATENATE("13.02.2012.",CHAR(10),"60 dana, računajući od dana obostranog potpisa Ugovora")</f>
        <v>13.02.2012.
60 dana, računajući od dana obostranog potpisa Ugovora</v>
      </c>
      <c r="H96" s="1" t="str">
        <f>CONCATENATE("GIM GRAĐENJE D.O.O., ZAGREB",CHAR(10),"M-M ELEKTRO D.O.O., LUČKO",CHAR(10),"GEO GRUPA D.O.O., ZAGREB")</f>
        <v>GIM GRAĐENJE D.O.O., ZAGREB
M-M ELEKTRO D.O.O., LUČKO
GEO GRUPA D.O.O., ZAGREB</v>
      </c>
      <c r="I96" s="2"/>
      <c r="J96" s="1"/>
      <c r="K96" s="2"/>
    </row>
    <row r="97" spans="1:11" ht="47.25" x14ac:dyDescent="0.25">
      <c r="A97" s="1" t="str">
        <f>"93/2012"</f>
        <v>93/2012</v>
      </c>
      <c r="B97" s="1" t="s">
        <v>14</v>
      </c>
      <c r="C97" s="1" t="s">
        <v>1474</v>
      </c>
      <c r="D97" s="1" t="str">
        <f>CONCATENATE("EM-934/022-2011",CHAR(10),"N-16-M-147091-061211 od 07.12.2011.")</f>
        <v>EM-934/022-2011
N-16-M-147091-061211 od 07.12.2011.</v>
      </c>
      <c r="E97" s="1" t="s">
        <v>15</v>
      </c>
      <c r="F97" s="1" t="str">
        <f>"97.893,00"</f>
        <v>97.893,00</v>
      </c>
      <c r="G97" s="1" t="str">
        <f>CONCATENATE("13.02.2012.",CHAR(10),"20 dana od dana uvođenja u posao")</f>
        <v>13.02.2012.
20 dana od dana uvođenja u posao</v>
      </c>
      <c r="H97" s="1" t="str">
        <f>CONCATENATE("TERMORAD D.O.O., ZAGREB")</f>
        <v>TERMORAD D.O.O., ZAGREB</v>
      </c>
      <c r="I97" s="1" t="s">
        <v>69</v>
      </c>
      <c r="J97" s="1" t="str">
        <f>SUBSTITUTE(SUBSTITUTE(SUBSTITUTE("118,328.13",".","-"),",","."),"-",",")</f>
        <v>118.328,13</v>
      </c>
      <c r="K97" s="2"/>
    </row>
    <row r="98" spans="1:11" ht="78.75" x14ac:dyDescent="0.25">
      <c r="A98" s="1" t="str">
        <f>"94/2012"</f>
        <v>94/2012</v>
      </c>
      <c r="B98" s="1" t="s">
        <v>14</v>
      </c>
      <c r="C98" s="1" t="s">
        <v>1475</v>
      </c>
      <c r="D98" s="1" t="str">
        <f>CONCATENATE("EM-937-009/2011",CHAR(10),"N-16-M-146556-011211 od 02.12.2011 te ispr. broj N-19-m-147515-081211 od 09.12.2011.")</f>
        <v>EM-937-009/2011
N-16-M-146556-011211 od 02.12.2011 te ispr. broj N-19-m-147515-081211 od 09.12.2011.</v>
      </c>
      <c r="E98" s="1" t="s">
        <v>15</v>
      </c>
      <c r="F98" s="1" t="str">
        <f>"399.947,00"</f>
        <v>399.947,00</v>
      </c>
      <c r="G98" s="1" t="str">
        <f>CONCATENATE("14.02.2012.",CHAR(10),"45 dana, računajući od dana uvođenja u posao")</f>
        <v>14.02.2012.
45 dana, računajući od dana uvođenja u posao</v>
      </c>
      <c r="H98" s="1" t="str">
        <f>CONCATENATE("GAMABON  D.O.O., ZAGREB")</f>
        <v>GAMABON  D.O.O., ZAGREB</v>
      </c>
      <c r="I98" s="1" t="s">
        <v>70</v>
      </c>
      <c r="J98" s="1" t="str">
        <f>SUBSTITUTE(SUBSTITUTE(SUBSTITUTE("491,837.25",".","-"),",","."),"-",",")</f>
        <v>491.837,25</v>
      </c>
      <c r="K98" s="2"/>
    </row>
    <row r="99" spans="1:11" ht="47.25" x14ac:dyDescent="0.25">
      <c r="A99" s="1" t="str">
        <f>"95/2012"</f>
        <v>95/2012</v>
      </c>
      <c r="B99" s="1" t="s">
        <v>14</v>
      </c>
      <c r="C99" s="1" t="s">
        <v>1476</v>
      </c>
      <c r="D99" s="1" t="str">
        <f>CONCATENATE("EM-974-012/2011",CHAR(10),"N-16-M-150848-271211 od 28.12.2011.")</f>
        <v>EM-974-012/2011
N-16-M-150848-271211 od 28.12.2011.</v>
      </c>
      <c r="E99" s="1" t="s">
        <v>15</v>
      </c>
      <c r="F99" s="1" t="str">
        <f>"86.000,00"</f>
        <v>86.000,00</v>
      </c>
      <c r="G99" s="1" t="str">
        <f>CONCATENATE("14.02.2012.",CHAR(10),"30 dana od dana obostranog potpisa Ugovora")</f>
        <v>14.02.2012.
30 dana od dana obostranog potpisa Ugovora</v>
      </c>
      <c r="H99" s="1" t="str">
        <f>CONCATENATE("OKIT D.O.O., ZAGREB")</f>
        <v>OKIT D.O.O., ZAGREB</v>
      </c>
      <c r="I99" s="1" t="s">
        <v>71</v>
      </c>
      <c r="J99" s="1" t="str">
        <f>SUBSTITUTE(SUBSTITUTE(SUBSTITUTE("105,780.00",".","-"),",","."),"-",",")</f>
        <v>105.780,00</v>
      </c>
      <c r="K99" s="2"/>
    </row>
    <row r="100" spans="1:11" ht="47.25" x14ac:dyDescent="0.25">
      <c r="A100" s="1" t="str">
        <f>"96/2012"</f>
        <v>96/2012</v>
      </c>
      <c r="B100" s="1" t="s">
        <v>14</v>
      </c>
      <c r="C100" s="1" t="s">
        <v>1477</v>
      </c>
      <c r="D100" s="1" t="str">
        <f>CONCATENATE("EM-979-012/2011",CHAR(10),"N-16-M-150623-231211 od 27.12.2011.")</f>
        <v>EM-979-012/2011
N-16-M-150623-231211 od 27.12.2011.</v>
      </c>
      <c r="E100" s="1" t="s">
        <v>15</v>
      </c>
      <c r="F100" s="1" t="str">
        <f>"88.000,00"</f>
        <v>88.000,00</v>
      </c>
      <c r="G100" s="1" t="str">
        <f>CONCATENATE("14.02.2012.",CHAR(10),"12 mjeseci računajući od dana obostranog potpisa UgovoraI")</f>
        <v>14.02.2012.
12 mjeseci računajući od dana obostranog potpisa UgovoraI</v>
      </c>
      <c r="H100" s="1" t="str">
        <f>CONCATENATE("OKIT D.O.O., ZAGREB")</f>
        <v>OKIT D.O.O., ZAGREB</v>
      </c>
      <c r="I100" s="1" t="s">
        <v>71</v>
      </c>
      <c r="J100" s="1" t="str">
        <f>SUBSTITUTE(SUBSTITUTE(SUBSTITUTE("108,240.00",".","-"),",","."),"-",",")</f>
        <v>108.240,00</v>
      </c>
      <c r="K100" s="2"/>
    </row>
    <row r="101" spans="1:11" ht="63" x14ac:dyDescent="0.25">
      <c r="A101" s="1" t="str">
        <f>"97/2012"</f>
        <v>97/2012</v>
      </c>
      <c r="B101" s="1" t="s">
        <v>14</v>
      </c>
      <c r="C101" s="1" t="s">
        <v>1478</v>
      </c>
      <c r="D101" s="1" t="str">
        <f>CONCATENATE("EM-823-009/2011",CHAR(10),"N-16-M-147549-081211 od 09.12.2011.")</f>
        <v>EM-823-009/2011
N-16-M-147549-081211 od 09.12.2011.</v>
      </c>
      <c r="E101" s="1" t="s">
        <v>15</v>
      </c>
      <c r="F101" s="1" t="str">
        <f>"463.264,56"</f>
        <v>463.264,56</v>
      </c>
      <c r="G101" s="1" t="str">
        <f>CONCATENATE("14.02.2012.",CHAR(10),"50 dana, računajući od dana uvođenja u posao")</f>
        <v>14.02.2012.
50 dana, računajući od dana uvođenja u posao</v>
      </c>
      <c r="H101" s="1" t="str">
        <f>CONCATENATE("MEŠIĆ COM D.O.O., ZAGREB")</f>
        <v>MEŠIĆ COM D.O.O., ZAGREB</v>
      </c>
      <c r="I101" s="1" t="s">
        <v>72</v>
      </c>
      <c r="J101" s="1" t="str">
        <f>CONCATENATE(SUBSTITUTE(SUBSTITUTE(SUBSTITUTE("578,959.43",".","-"),",","."),"-",","),CHAR(10),"konačno plaćeni iznos veći je od ugovorenog radi povećanja PDV-a")</f>
        <v>578.959,43
konačno plaćeni iznos veći je od ugovorenog radi povećanja PDV-a</v>
      </c>
      <c r="K101" s="2"/>
    </row>
    <row r="102" spans="1:11" ht="63" x14ac:dyDescent="0.25">
      <c r="A102" s="1" t="str">
        <f>"98/2012"</f>
        <v>98/2012</v>
      </c>
      <c r="B102" s="1" t="s">
        <v>14</v>
      </c>
      <c r="C102" s="1" t="s">
        <v>1479</v>
      </c>
      <c r="D102" s="1" t="str">
        <f>CONCATENATE("EM-960-004/2011",CHAR(10),"N-16-M-148363-131211 od 14.12.2011.")</f>
        <v>EM-960-004/2011
N-16-M-148363-131211 od 14.12.2011.</v>
      </c>
      <c r="E102" s="1" t="s">
        <v>15</v>
      </c>
      <c r="F102" s="1" t="str">
        <f>"139.460,00"</f>
        <v>139.460,00</v>
      </c>
      <c r="G102" s="1" t="str">
        <f>CONCATENATE("14.02.2012.",CHAR(10),"u roku 15 dana")</f>
        <v>14.02.2012.
u roku 15 dana</v>
      </c>
      <c r="H102" s="1" t="str">
        <f>CONCATENATE("PEEK PROMET D.O.O., ZAGREB")</f>
        <v>PEEK PROMET D.O.O., ZAGREB</v>
      </c>
      <c r="I102" s="1" t="s">
        <v>73</v>
      </c>
      <c r="J102" s="1" t="str">
        <f>SUBSTITUTE(SUBSTITUTE(SUBSTITUTE("138,434.00",".","-"),",","."),"-",",")</f>
        <v>138.434,00</v>
      </c>
      <c r="K102" s="2"/>
    </row>
    <row r="103" spans="1:11" ht="63" x14ac:dyDescent="0.25">
      <c r="A103" s="1" t="str">
        <f>"99/2012"</f>
        <v>99/2012</v>
      </c>
      <c r="B103" s="1" t="s">
        <v>14</v>
      </c>
      <c r="C103" s="1" t="s">
        <v>1480</v>
      </c>
      <c r="D103" s="1" t="str">
        <f>CONCATENATE("EM-764-012/2011",CHAR(10),"N-16-M-146203-301111 od 01.12.2011.")</f>
        <v>EM-764-012/2011
N-16-M-146203-301111 od 01.12.2011.</v>
      </c>
      <c r="E103" s="1" t="s">
        <v>15</v>
      </c>
      <c r="F103" s="1" t="str">
        <f>"39.700,00"</f>
        <v>39.700,00</v>
      </c>
      <c r="G103" s="1" t="str">
        <f>CONCATENATE("15.02.2012.",CHAR(10),"45 dana, računajući od dana obostranog potpisa Ugovora")</f>
        <v>15.02.2012.
45 dana, računajući od dana obostranog potpisa Ugovora</v>
      </c>
      <c r="H103" s="1" t="str">
        <f>CONCATENATE("PROMPT D.O.O., ZAGREB",CHAR(10),"GEO 6 D.O.O, ZAGREB-SUSEDGRAD")</f>
        <v>PROMPT D.O.O., ZAGREB
GEO 6 D.O.O, ZAGREB-SUSEDGRAD</v>
      </c>
      <c r="I103" s="1" t="s">
        <v>74</v>
      </c>
      <c r="J103" s="1" t="str">
        <f>CONCATENATE(SUBSTITUTE(SUBSTITUTE(SUBSTITUTE("49,625.00",".","-"),",","."),"-",","),CHAR(10),"konačno plaćeni iznos veći je od ugovorenog radi promjene stope PDV-a")</f>
        <v>49.625,00
konačno plaćeni iznos veći je od ugovorenog radi promjene stope PDV-a</v>
      </c>
      <c r="K103" s="2"/>
    </row>
    <row r="104" spans="1:11" ht="63" x14ac:dyDescent="0.25">
      <c r="A104" s="1" t="str">
        <f>"100/2012"</f>
        <v>100/2012</v>
      </c>
      <c r="B104" s="1" t="s">
        <v>14</v>
      </c>
      <c r="C104" s="1" t="s">
        <v>1481</v>
      </c>
      <c r="D104" s="1" t="str">
        <f>CONCATENATE("EM-955-012/2011",CHAR(10),"N-16-M-150152-211211 od 22.12.2011.")</f>
        <v>EM-955-012/2011
N-16-M-150152-211211 od 22.12.2011.</v>
      </c>
      <c r="E104" s="1" t="s">
        <v>15</v>
      </c>
      <c r="F104" s="1" t="str">
        <f>"186.684,91"</f>
        <v>186.684,91</v>
      </c>
      <c r="G104" s="1" t="str">
        <f>CONCATENATE("16.02.2012.",CHAR(10),"30 dana, računajući od dana uvođenja u posao")</f>
        <v>16.02.2012.
30 dana, računajući od dana uvođenja u posao</v>
      </c>
      <c r="H104" s="1" t="str">
        <f>CONCATENATE("MEŠIĆ COM D.O.O., ZAGREB",CHAR(10),"MJERNIK LIMA D.O.O., ZAGREB")</f>
        <v>MEŠIĆ COM D.O.O., ZAGREB
MJERNIK LIMA D.O.O., ZAGREB</v>
      </c>
      <c r="I104" s="1" t="s">
        <v>75</v>
      </c>
      <c r="J104" s="1" t="str">
        <f>CONCATENATE(SUBSTITUTE(SUBSTITUTE(SUBSTITUTE("231,515.49",".","-"),",","."),"-",","),CHAR(10),"konačno plaćeni iznos veći je od ugovorenog radi promjene stope PDV-a")</f>
        <v>231.515,49
konačno plaćeni iznos veći je od ugovorenog radi promjene stope PDV-a</v>
      </c>
      <c r="K104" s="2"/>
    </row>
    <row r="105" spans="1:11" ht="47.25" x14ac:dyDescent="0.25">
      <c r="A105" s="1" t="str">
        <f>"101/2012"</f>
        <v>101/2012</v>
      </c>
      <c r="B105" s="1" t="s">
        <v>14</v>
      </c>
      <c r="C105" s="1" t="s">
        <v>1482</v>
      </c>
      <c r="D105" s="1" t="str">
        <f>CONCATENATE("EV-582-022/2011",CHAR(10),"N-02-V-144418-181111 od 21.11.2011.")</f>
        <v>EV-582-022/2011
N-02-V-144418-181111 od 21.11.2011.</v>
      </c>
      <c r="E105" s="1" t="s">
        <v>15</v>
      </c>
      <c r="F105" s="1" t="str">
        <f>"850.575,00"</f>
        <v>850.575,00</v>
      </c>
      <c r="G105" s="1" t="str">
        <f>CONCATENATE("16.02.2012.",CHAR(10),"12 mjeseci, računajući od dana obostranog potpisa Ugovora")</f>
        <v>16.02.2012.
12 mjeseci, računajući od dana obostranog potpisa Ugovora</v>
      </c>
      <c r="H105" s="1" t="str">
        <f>CONCATENATE("TEMPERA D.D., ZAGREB")</f>
        <v>TEMPERA D.D., ZAGREB</v>
      </c>
      <c r="I105" s="1" t="s">
        <v>76</v>
      </c>
      <c r="J105" s="1" t="str">
        <f>SUBSTITUTE(SUBSTITUTE(SUBSTITUTE("1,022,698.98",".","-"),",","."),"-",",")</f>
        <v>1.022.698,98</v>
      </c>
      <c r="K105" s="2"/>
    </row>
    <row r="106" spans="1:11" ht="47.25" x14ac:dyDescent="0.25">
      <c r="A106" s="1" t="str">
        <f>"102/2012"</f>
        <v>102/2012</v>
      </c>
      <c r="B106" s="1" t="s">
        <v>14</v>
      </c>
      <c r="C106" s="1" t="s">
        <v>1483</v>
      </c>
      <c r="D106" s="1" t="str">
        <f>CONCATENATE("EM-825-012/2011",CHAR(10),"N-16-M-147589-081211 od 09.12.2011.")</f>
        <v>EM-825-012/2011
N-16-M-147589-081211 od 09.12.2011.</v>
      </c>
      <c r="E106" s="1" t="s">
        <v>15</v>
      </c>
      <c r="F106" s="1" t="str">
        <f>"22.000,00"</f>
        <v>22.000,00</v>
      </c>
      <c r="G106" s="1" t="str">
        <f>CONCATENATE("16.02.2012.",CHAR(10),"60 dana od dana obostranog potpisa Ugovora")</f>
        <v>16.02.2012.
60 dana od dana obostranog potpisa Ugovora</v>
      </c>
      <c r="H106" s="1" t="str">
        <f>CONCATENATE("PGT ŠKUNCA D.O.O., ZAGREB-SUSEDGRAD")</f>
        <v>PGT ŠKUNCA D.O.O., ZAGREB-SUSEDGRAD</v>
      </c>
      <c r="I106" s="1" t="s">
        <v>77</v>
      </c>
      <c r="J106" s="1" t="str">
        <f>SUBSTITUTE(SUBSTITUTE(SUBSTITUTE("25,850.00",".","-"),",","."),"-",",")</f>
        <v>25.850,00</v>
      </c>
      <c r="K106" s="2"/>
    </row>
    <row r="107" spans="1:11" ht="47.25" x14ac:dyDescent="0.25">
      <c r="A107" s="1" t="str">
        <f>"103/2012"</f>
        <v>103/2012</v>
      </c>
      <c r="B107" s="1" t="s">
        <v>14</v>
      </c>
      <c r="C107" s="1" t="s">
        <v>1484</v>
      </c>
      <c r="D107" s="1" t="str">
        <f>CONCATENATE("EM-770-012/2011",CHAR(10),"N-16-M-146880-051211 od 06.12.2011.")</f>
        <v>EM-770-012/2011
N-16-M-146880-051211 od 06.12.2011.</v>
      </c>
      <c r="E107" s="1" t="s">
        <v>15</v>
      </c>
      <c r="F107" s="1" t="str">
        <f>"116.000,00"</f>
        <v>116.000,00</v>
      </c>
      <c r="G107" s="1" t="str">
        <f>CONCATENATE("16.02.2012.",CHAR(10),"60 dana, računajući od dana obostranog potpisa Ugovora")</f>
        <v>16.02.2012.
60 dana, računajući od dana obostranog potpisa Ugovora</v>
      </c>
      <c r="H107" s="1" t="str">
        <f>CONCATENATE("AKING D.O.O., ZAGREB",CHAR(10),"IPT-INŽENJERING D.O.O., ZAGREB")</f>
        <v>AKING D.O.O., ZAGREB
IPT-INŽENJERING D.O.O., ZAGREB</v>
      </c>
      <c r="I107" s="2"/>
      <c r="J107" s="1"/>
      <c r="K107" s="2"/>
    </row>
    <row r="108" spans="1:11" ht="63" x14ac:dyDescent="0.25">
      <c r="A108" s="1" t="str">
        <f>"104/2012"</f>
        <v>104/2012</v>
      </c>
      <c r="B108" s="1" t="s">
        <v>14</v>
      </c>
      <c r="C108" s="1" t="s">
        <v>1485</v>
      </c>
      <c r="D108" s="1" t="str">
        <f>CONCATENATE("EM-794-012/2011",CHAR(10),"N-16-M-145343-241111 od 25.11.2011.")</f>
        <v>EM-794-012/2011
N-16-M-145343-241111 od 25.11.2011.</v>
      </c>
      <c r="E108" s="1" t="s">
        <v>15</v>
      </c>
      <c r="F108" s="1" t="str">
        <f>"33.900,00"</f>
        <v>33.900,00</v>
      </c>
      <c r="G108" s="1" t="str">
        <f>CONCATENATE("16.02.2012.",CHAR(10),"20 dana, računajući od dana obostranog potpisa Ugovora")</f>
        <v>16.02.2012.
20 dana, računajući od dana obostranog potpisa Ugovora</v>
      </c>
      <c r="H108" s="1" t="str">
        <f>CONCATENATE("ARHINGTRADE D.O.O., ZAGREB")</f>
        <v>ARHINGTRADE D.O.O., ZAGREB</v>
      </c>
      <c r="I108" s="1" t="s">
        <v>78</v>
      </c>
      <c r="J108" s="1" t="str">
        <f>CONCATENATE(SUBSTITUTE(SUBSTITUTE(SUBSTITUTE("42,375.00",".","-"),",","."),"-",","),CHAR(10),"konačno plaćeni iznos veći je od ugovorenog radi promjene stope PDV-a")</f>
        <v>42.375,00
konačno plaćeni iznos veći je od ugovorenog radi promjene stope PDV-a</v>
      </c>
      <c r="K108" s="2"/>
    </row>
    <row r="109" spans="1:11" ht="63" x14ac:dyDescent="0.25">
      <c r="A109" s="1" t="str">
        <f>"105/2012"</f>
        <v>105/2012</v>
      </c>
      <c r="B109" s="1" t="s">
        <v>14</v>
      </c>
      <c r="C109" s="1" t="s">
        <v>1486</v>
      </c>
      <c r="D109" s="1" t="str">
        <f>CONCATENATE("EM-762-012/2011",CHAR(10),"N-16-M-147315-071211 od 08.12.2011.")</f>
        <v>EM-762-012/2011
N-16-M-147315-071211 od 08.12.2011.</v>
      </c>
      <c r="E109" s="1" t="s">
        <v>15</v>
      </c>
      <c r="F109" s="1" t="str">
        <f>"45.900,00"</f>
        <v>45.900,00</v>
      </c>
      <c r="G109" s="1" t="str">
        <f>CONCATENATE("17.02.2012.",CHAR(10),"45 dana, računajuči od dana obostranog potpisa Ugovora")</f>
        <v>17.02.2012.
45 dana, računajuči od dana obostranog potpisa Ugovora</v>
      </c>
      <c r="H109" s="1" t="str">
        <f>CONCATENATE("BRODARSKI INSTITUT D.O.O., ZAGREB-NOVI ZAGREB")</f>
        <v>BRODARSKI INSTITUT D.O.O., ZAGREB-NOVI ZAGREB</v>
      </c>
      <c r="I109" s="1" t="s">
        <v>79</v>
      </c>
      <c r="J109" s="1" t="str">
        <f>CONCATENATE(SUBSTITUTE(SUBSTITUTE(SUBSTITUTE("57,375.00",".","-"),",","."),"-",","),CHAR(10),"konačno plaćeni iznos veći je od ugovorenog radi promjene stope PDV-a")</f>
        <v>57.375,00
konačno plaćeni iznos veći je od ugovorenog radi promjene stope PDV-a</v>
      </c>
      <c r="K109" s="2"/>
    </row>
    <row r="110" spans="1:11" ht="63" x14ac:dyDescent="0.25">
      <c r="A110" s="1" t="str">
        <f>"106/2012"</f>
        <v>106/2012</v>
      </c>
      <c r="B110" s="1" t="s">
        <v>14</v>
      </c>
      <c r="C110" s="1" t="s">
        <v>1487</v>
      </c>
      <c r="D110" s="1" t="str">
        <f>CONCATENATE("EM-830-009/2011",CHAR(10),"N-16-M-148122-121211 od 13.12.2011.")</f>
        <v>EM-830-009/2011
N-16-M-148122-121211 od 13.12.2011.</v>
      </c>
      <c r="E110" s="1" t="s">
        <v>15</v>
      </c>
      <c r="F110" s="1" t="str">
        <f>"274.844,00"</f>
        <v>274.844,00</v>
      </c>
      <c r="G110" s="1" t="str">
        <f>CONCATENATE("20.02.2012.",CHAR(10),"45 dana, računajući od dana uvođenja u posao")</f>
        <v>20.02.2012.
45 dana, računajući od dana uvođenja u posao</v>
      </c>
      <c r="H110" s="1" t="str">
        <f>CONCATENATE("GRADIMONT D.O.O., ZAGREB")</f>
        <v>GRADIMONT D.O.O., ZAGREB</v>
      </c>
      <c r="I110" s="1" t="s">
        <v>71</v>
      </c>
      <c r="J110" s="1" t="str">
        <f>CONCATENATE(SUBSTITUTE(SUBSTITUTE(SUBSTITUTE("342,725.81",".","-"),",","."),"-",","),CHAR(10),"konačno plaćeni iznos veći je od ugovorenog radi promjene stope PDV-a")</f>
        <v>342.725,81
konačno plaćeni iznos veći je od ugovorenog radi promjene stope PDV-a</v>
      </c>
      <c r="K110" s="2"/>
    </row>
    <row r="111" spans="1:11" ht="47.25" x14ac:dyDescent="0.25">
      <c r="A111" s="1" t="str">
        <f>"107/2012"</f>
        <v>107/2012</v>
      </c>
      <c r="B111" s="1" t="s">
        <v>14</v>
      </c>
      <c r="C111" s="1" t="s">
        <v>1488</v>
      </c>
      <c r="D111" s="1" t="str">
        <f>CONCATENATE("EM-702-006/2011",CHAR(10),"N-16-M-145225-231111 od 25.11.2011.")</f>
        <v>EM-702-006/2011
N-16-M-145225-231111 od 25.11.2011.</v>
      </c>
      <c r="E111" s="1" t="s">
        <v>15</v>
      </c>
      <c r="F111" s="1" t="str">
        <f>"80.123,50"</f>
        <v>80.123,50</v>
      </c>
      <c r="G111" s="1" t="str">
        <f>CONCATENATE("20.02.2012.",CHAR(10),"12 mjeseci od obostranog potpisa ugovora")</f>
        <v>20.02.2012.
12 mjeseci od obostranog potpisa ugovora</v>
      </c>
      <c r="H111" s="1" t="str">
        <f>CONCATENATE("HP-HRVATSKA POŠTA D.D., ZAGREB")</f>
        <v>HP-HRVATSKA POŠTA D.D., ZAGREB</v>
      </c>
      <c r="I111" s="1" t="s">
        <v>80</v>
      </c>
      <c r="J111" s="1" t="str">
        <f>SUBSTITUTE(SUBSTITUTE(SUBSTITUTE("91,530.64",".","-"),",","."),"-",",")</f>
        <v>91.530,64</v>
      </c>
      <c r="K111" s="2"/>
    </row>
    <row r="112" spans="1:11" ht="63" x14ac:dyDescent="0.25">
      <c r="A112" s="1" t="str">
        <f>"108/2012"</f>
        <v>108/2012</v>
      </c>
      <c r="B112" s="1" t="s">
        <v>14</v>
      </c>
      <c r="C112" s="1" t="s">
        <v>1489</v>
      </c>
      <c r="D112" s="1" t="str">
        <f>CONCATENATE("EV-786-012/2011",CHAR(10),"N-02-V-148756-151211 od 16.12.2011.")</f>
        <v>EV-786-012/2011
N-02-V-148756-151211 od 16.12.2011.</v>
      </c>
      <c r="E112" s="1" t="s">
        <v>15</v>
      </c>
      <c r="F112" s="1" t="str">
        <f>"237.000,00"</f>
        <v>237.000,00</v>
      </c>
      <c r="G112" s="1" t="str">
        <f>CONCATENATE("21.02.2012.",CHAR(10),"100 dana, računajući od dana obostranog potpisa Ugovora")</f>
        <v>21.02.2012.
100 dana, računajući od dana obostranog potpisa Ugovora</v>
      </c>
      <c r="H112" s="1" t="str">
        <f>CONCATENATE("SMAGRA D.O.O., ZAGREB",CHAR(10),"SVEUČILIŠTE U ZAGREBU RUDARSKO-GEOLOŠKO- NAFTNI FAKULTET, ZAGREB")</f>
        <v>SMAGRA D.O.O., ZAGREB
SVEUČILIŠTE U ZAGREBU RUDARSKO-GEOLOŠKO- NAFTNI FAKULTET, ZAGREB</v>
      </c>
      <c r="I112" s="1" t="s">
        <v>81</v>
      </c>
      <c r="J112" s="1" t="str">
        <f>CONCATENATE(SUBSTITUTE(SUBSTITUTE(SUBSTITUTE("296,250.00",".","-"),",","."),"-",","),CHAR(10),"konačno plaćeni iznos veći je od ugovorenog radi promjene stope PDV-a")</f>
        <v>296.250,00
konačno plaćeni iznos veći je od ugovorenog radi promjene stope PDV-a</v>
      </c>
      <c r="K112" s="2"/>
    </row>
    <row r="113" spans="1:11" ht="63" x14ac:dyDescent="0.25">
      <c r="A113" s="1" t="str">
        <f>"109/2012"</f>
        <v>109/2012</v>
      </c>
      <c r="B113" s="1" t="s">
        <v>14</v>
      </c>
      <c r="C113" s="1" t="s">
        <v>1490</v>
      </c>
      <c r="D113" s="1" t="str">
        <f>CONCATENATE("EV-329-012/2010.",CHAR(10),"N-02-V-144214-011210 od 03.12.2010.")</f>
        <v>EV-329-012/2010.
N-02-V-144214-011210 od 03.12.2010.</v>
      </c>
      <c r="E113" s="1" t="s">
        <v>15</v>
      </c>
      <c r="F113" s="1" t="str">
        <f>"1.673.889,00"</f>
        <v>1.673.889,00</v>
      </c>
      <c r="G113" s="1" t="str">
        <f>CONCATENATE("21.02.2012.",CHAR(10),"180 dana od dana uvođenja u posao")</f>
        <v>21.02.2012.
180 dana od dana uvođenja u posao</v>
      </c>
      <c r="H113" s="1" t="str">
        <f>CONCATENATE("GRADNJAPROJEKT- ZAGREB D.O.O., ZAGREB",CHAR(10),"LJEVAONICA UMJETNINA ALU D.O.O., ZAGREB")</f>
        <v>GRADNJAPROJEKT- ZAGREB D.O.O., ZAGREB
LJEVAONICA UMJETNINA ALU D.O.O., ZAGREB</v>
      </c>
      <c r="I113" s="1" t="s">
        <v>82</v>
      </c>
      <c r="J113" s="1" t="str">
        <f>CONCATENATE(SUBSTITUTE(SUBSTITUTE(SUBSTITUTE("2,092,312.51",".","-"),",","."),"-",","),CHAR(10),"konačno plaćeni iznos veći je od ugovorenog radi promjene stope PDV-a")</f>
        <v>2.092.312,51
konačno plaćeni iznos veći je od ugovorenog radi promjene stope PDV-a</v>
      </c>
      <c r="K113" s="2"/>
    </row>
    <row r="114" spans="1:11" ht="63" x14ac:dyDescent="0.25">
      <c r="A114" s="1" t="str">
        <f>"110/2012"</f>
        <v>110/2012</v>
      </c>
      <c r="B114" s="1" t="s">
        <v>11</v>
      </c>
      <c r="C114" s="1" t="s">
        <v>1491</v>
      </c>
      <c r="D114" s="1" t="str">
        <f>CONCATENATE("EM-715-012/2011.",CHAR(10),"N-32-M-146808-021211 od 06.12.2011.")</f>
        <v>EM-715-012/2011.
N-32-M-146808-021211 od 06.12.2011.</v>
      </c>
      <c r="E114" s="1" t="s">
        <v>12</v>
      </c>
      <c r="F114" s="1" t="str">
        <f>"34.000,00"</f>
        <v>34.000,00</v>
      </c>
      <c r="G114" s="1" t="str">
        <f>CONCATENATE("21.02.2012.",CHAR(10),"8 dana od dana obostranog potpisa Aneksa osnovnom ugovoru")</f>
        <v>21.02.2012.
8 dana od dana obostranog potpisa Aneksa osnovnom ugovoru</v>
      </c>
      <c r="H114" s="1" t="str">
        <f>CONCATENATE("ARHITEKTONSKI FAKULTET SVEUČILIŠTA U ZAGREBU, ZAGREB")</f>
        <v>ARHITEKTONSKI FAKULTET SVEUČILIŠTA U ZAGREBU, ZAGREB</v>
      </c>
      <c r="I114" s="2"/>
      <c r="J114" s="1"/>
      <c r="K114" s="2"/>
    </row>
    <row r="115" spans="1:11" ht="47.25" x14ac:dyDescent="0.25">
      <c r="A115" s="1" t="str">
        <f>"111/2012"</f>
        <v>111/2012</v>
      </c>
      <c r="B115" s="1" t="s">
        <v>11</v>
      </c>
      <c r="C115" s="1" t="s">
        <v>1492</v>
      </c>
      <c r="D115" s="1" t="str">
        <f>"EV-540-012/2011"</f>
        <v>EV-540-012/2011</v>
      </c>
      <c r="E115" s="2"/>
      <c r="F115" s="1" t="str">
        <f>"0,00"</f>
        <v>0,00</v>
      </c>
      <c r="G115" s="1" t="str">
        <f>CONCATENATE("21.02.2012.",CHAR(10),"90 dana, računajući od dana uvođenja u posao")</f>
        <v>21.02.2012.
90 dana, računajući od dana uvođenja u posao</v>
      </c>
      <c r="H115" s="1" t="str">
        <f>CONCATENATE("TIM - GRADNJA D.O.O., ZAGREB")</f>
        <v>TIM - GRADNJA D.O.O., ZAGREB</v>
      </c>
      <c r="I115" s="2"/>
      <c r="J115" s="1"/>
      <c r="K115" s="2"/>
    </row>
    <row r="116" spans="1:11" ht="63" x14ac:dyDescent="0.25">
      <c r="A116" s="1" t="str">
        <f>"112/2012"</f>
        <v>112/2012</v>
      </c>
      <c r="B116" s="1" t="s">
        <v>14</v>
      </c>
      <c r="C116" s="1" t="s">
        <v>1493</v>
      </c>
      <c r="D116" s="1" t="str">
        <f>CONCATENATE("EV-652-012/2011",CHAR(10),"N-30-V-142378-041111 od 07.11.2011.")</f>
        <v>EV-652-012/2011
N-30-V-142378-041111 od 07.11.2011.</v>
      </c>
      <c r="E116" s="1" t="s">
        <v>12</v>
      </c>
      <c r="F116" s="1" t="str">
        <f>"2.173.778,56"</f>
        <v>2.173.778,56</v>
      </c>
      <c r="G116" s="1" t="str">
        <f>CONCATENATE("21.02.2012.",CHAR(10),"do 25.03.2012.")</f>
        <v>21.02.2012.
do 25.03.2012.</v>
      </c>
      <c r="H116" s="1" t="str">
        <f>CONCATENATE("ARHITEKTONSKI ATELIER HRŽIĆ D.O.O., ZAGREB")</f>
        <v>ARHITEKTONSKI ATELIER HRŽIĆ D.O.O., ZAGREB</v>
      </c>
      <c r="I116" s="2"/>
      <c r="J116" s="1"/>
      <c r="K116" s="2"/>
    </row>
    <row r="117" spans="1:11" ht="47.25" x14ac:dyDescent="0.25">
      <c r="A117" s="1" t="str">
        <f>"113/2012"</f>
        <v>113/2012</v>
      </c>
      <c r="B117" s="1" t="s">
        <v>14</v>
      </c>
      <c r="C117" s="1" t="s">
        <v>1494</v>
      </c>
      <c r="D117" s="1" t="str">
        <f>CONCATENATE("EM-769-012/2011",CHAR(10),"N-16-M-147137-061211 od 07.12.2011.")</f>
        <v>EM-769-012/2011
N-16-M-147137-061211 od 07.12.2011.</v>
      </c>
      <c r="E117" s="1" t="s">
        <v>15</v>
      </c>
      <c r="F117" s="1" t="str">
        <f>"32.700,00"</f>
        <v>32.700,00</v>
      </c>
      <c r="G117" s="1" t="str">
        <f>CONCATENATE("21.02.2012.",CHAR(10),"30 dana, računajući od dana obostranog potpisa Ugovora")</f>
        <v>21.02.2012.
30 dana, računajući od dana obostranog potpisa Ugovora</v>
      </c>
      <c r="H117" s="1" t="str">
        <f>CONCATENATE("PROMPT D.O.O., ZAGREB",CHAR(10),"GEO 6 D.O.O, ZAGREB-SUSEDGRAD")</f>
        <v>PROMPT D.O.O., ZAGREB
GEO 6 D.O.O, ZAGREB-SUSEDGRAD</v>
      </c>
      <c r="I117" s="2"/>
      <c r="J117" s="1"/>
      <c r="K117" s="2"/>
    </row>
    <row r="118" spans="1:11" ht="63" x14ac:dyDescent="0.25">
      <c r="A118" s="1" t="str">
        <f>"114/2012"</f>
        <v>114/2012</v>
      </c>
      <c r="B118" s="1" t="s">
        <v>14</v>
      </c>
      <c r="C118" s="1" t="s">
        <v>1495</v>
      </c>
      <c r="D118" s="1" t="str">
        <f>CONCATENATE("EM-791-012/2011",CHAR(10),"N-16-M-148040-121211 od 13.12.2011.")</f>
        <v>EM-791-012/2011
N-16-M-148040-121211 od 13.12.2011.</v>
      </c>
      <c r="E118" s="1" t="s">
        <v>15</v>
      </c>
      <c r="F118" s="1" t="str">
        <f>"242.196,00"</f>
        <v>242.196,00</v>
      </c>
      <c r="G118" s="1" t="str">
        <f>CONCATENATE("22.02.2012.",CHAR(10),"30 dana od dana uvođenja u posao")</f>
        <v>22.02.2012.
30 dana od dana uvođenja u posao</v>
      </c>
      <c r="H118" s="1" t="str">
        <f>CONCATENATE("MONTEL D.O.O., ZAGREB")</f>
        <v>MONTEL D.O.O., ZAGREB</v>
      </c>
      <c r="I118" s="1" t="s">
        <v>83</v>
      </c>
      <c r="J118" s="1" t="str">
        <f>CONCATENATE(SUBSTITUTE(SUBSTITUTE(SUBSTITUTE("301,814.67",".","-"),",","."),"-",","),CHAR(10),"konačno plaćeni iznos veći je od ugovorenog radi promjene stope PDV-a")</f>
        <v>301.814,67
konačno plaćeni iznos veći je od ugovorenog radi promjene stope PDV-a</v>
      </c>
      <c r="K118" s="2"/>
    </row>
    <row r="119" spans="1:11" ht="63" x14ac:dyDescent="0.25">
      <c r="A119" s="1" t="str">
        <f>"115/2012"</f>
        <v>115/2012</v>
      </c>
      <c r="B119" s="1" t="s">
        <v>14</v>
      </c>
      <c r="C119" s="1" t="s">
        <v>1496</v>
      </c>
      <c r="D119" s="1" t="str">
        <f>CONCATENATE("EM-713-012/2011",CHAR(10),"N-16-M-145456-251111 od 28.11.2011.")</f>
        <v>EM-713-012/2011
N-16-M-145456-251111 od 28.11.2011.</v>
      </c>
      <c r="E119" s="1" t="s">
        <v>15</v>
      </c>
      <c r="F119" s="1" t="str">
        <f>"241.315,00"</f>
        <v>241.315,00</v>
      </c>
      <c r="G119" s="1" t="str">
        <f>CONCATENATE("22.02.2012.",CHAR(10),"60 dana od dana uvođenja u posao")</f>
        <v>22.02.2012.
60 dana od dana uvođenja u posao</v>
      </c>
      <c r="H119" s="1" t="str">
        <f>CONCATENATE("GRADEL D.O.O., VELIKA GORICA")</f>
        <v>GRADEL D.O.O., VELIKA GORICA</v>
      </c>
      <c r="I119" s="1" t="s">
        <v>84</v>
      </c>
      <c r="J119" s="1" t="str">
        <f>CONCATENATE(SUBSTITUTE(SUBSTITUTE(SUBSTITUTE("301,615.11",".","-"),",","."),"-",","),CHAR(10),"konačno plaćeni iznos veći je od ugovorenog radi promjene stope PDV-a")</f>
        <v>301.615,11
konačno plaćeni iznos veći je od ugovorenog radi promjene stope PDV-a</v>
      </c>
      <c r="K119" s="2"/>
    </row>
    <row r="120" spans="1:11" ht="47.25" x14ac:dyDescent="0.25">
      <c r="A120" s="1" t="str">
        <f>"116/2012"</f>
        <v>116/2012</v>
      </c>
      <c r="B120" s="1" t="s">
        <v>14</v>
      </c>
      <c r="C120" s="1" t="s">
        <v>1497</v>
      </c>
      <c r="D120" s="1" t="str">
        <f>CONCATENATE("EV-714-012/2011",CHAR(10),"N-02-V-144524-211111 od 22.11.2011.")</f>
        <v>EV-714-012/2011
N-02-V-144524-211111 od 22.11.2011.</v>
      </c>
      <c r="E120" s="1" t="s">
        <v>15</v>
      </c>
      <c r="F120" s="1" t="str">
        <f>"385.500,00"</f>
        <v>385.500,00</v>
      </c>
      <c r="G120" s="1" t="str">
        <f>CONCATENATE("22.02.2012.",CHAR(10),"90 dana od dana obostranog potpisa Ugovora")</f>
        <v>22.02.2012.
90 dana od dana obostranog potpisa Ugovora</v>
      </c>
      <c r="H120" s="1" t="str">
        <f>CONCATENATE("CROATIA TENIS D.O.O., ZAGREB")</f>
        <v>CROATIA TENIS D.O.O., ZAGREB</v>
      </c>
      <c r="I120" s="1" t="s">
        <v>85</v>
      </c>
      <c r="J120" s="1" t="str">
        <f>SUBSTITUTE(SUBSTITUTE(SUBSTITUTE("472,957.30",".","-"),",","."),"-",",")</f>
        <v>472.957,30</v>
      </c>
      <c r="K120" s="2"/>
    </row>
    <row r="121" spans="1:11" ht="47.25" x14ac:dyDescent="0.25">
      <c r="A121" s="1" t="str">
        <f>"117/2012"</f>
        <v>117/2012</v>
      </c>
      <c r="B121" s="1" t="s">
        <v>14</v>
      </c>
      <c r="C121" s="1" t="s">
        <v>1498</v>
      </c>
      <c r="D121" s="1" t="str">
        <f>CONCATENATE("EM-958-012/2011",CHAR(10),"N-16-M-149630-201211 od 21.12.2011.")</f>
        <v>EM-958-012/2011
N-16-M-149630-201211 od 21.12.2011.</v>
      </c>
      <c r="E121" s="1" t="s">
        <v>15</v>
      </c>
      <c r="F121" s="1" t="str">
        <f>"60.483,00"</f>
        <v>60.483,00</v>
      </c>
      <c r="G121" s="1" t="str">
        <f>CONCATENATE("22.02.2012.",CHAR(10),"10 dana, računajući od dana uvođenja u posao")</f>
        <v>22.02.2012.
10 dana, računajući od dana uvođenja u posao</v>
      </c>
      <c r="H121" s="1" t="str">
        <f>CONCATENATE("ZAGREBAČKI HOLDING D.O.O., PODRUŽNICA ZRINJEVAC, ZAGREB")</f>
        <v>ZAGREBAČKI HOLDING D.O.O., PODRUŽNICA ZRINJEVAC, ZAGREB</v>
      </c>
      <c r="I121" s="1" t="s">
        <v>16</v>
      </c>
      <c r="J121" s="1" t="str">
        <f>SUBSTITUTE(SUBSTITUTE(SUBSTITUTE("8,692.50",".","-"),",","."),"-",",")</f>
        <v>8.692,50</v>
      </c>
      <c r="K121" s="2"/>
    </row>
    <row r="122" spans="1:11" ht="47.25" x14ac:dyDescent="0.25">
      <c r="A122" s="1" t="str">
        <f>"118/2012"</f>
        <v>118/2012</v>
      </c>
      <c r="B122" s="1" t="s">
        <v>14</v>
      </c>
      <c r="C122" s="1" t="s">
        <v>1499</v>
      </c>
      <c r="D122" s="1" t="str">
        <f>CONCATENATE("EV-484-012/2011",CHAR(10),"N-02-V-147762-091211 od 12.12.2011.")</f>
        <v>EV-484-012/2011
N-02-V-147762-091211 od 12.12.2011.</v>
      </c>
      <c r="E122" s="1" t="s">
        <v>15</v>
      </c>
      <c r="F122" s="1" t="str">
        <f>"3.977.544,33"</f>
        <v>3.977.544,33</v>
      </c>
      <c r="G122" s="1" t="str">
        <f>CONCATENATE("22.02.2012.",CHAR(10),"12 mjeseci od dana uvođenja u posao")</f>
        <v>22.02.2012.
12 mjeseci od dana uvođenja u posao</v>
      </c>
      <c r="H122" s="1" t="str">
        <f>CONCATENATE("HIDROCOMMERCE D.O.O., GORNJI STUPNIK",CHAR(10),"GEODIST D.O.O., ZAGREB")</f>
        <v>HIDROCOMMERCE D.O.O., GORNJI STUPNIK
GEODIST D.O.O., ZAGREB</v>
      </c>
      <c r="I122" s="2"/>
      <c r="J122" s="1"/>
      <c r="K122" s="2"/>
    </row>
    <row r="123" spans="1:11" ht="63" x14ac:dyDescent="0.25">
      <c r="A123" s="1" t="str">
        <f>"119/2012"</f>
        <v>119/2012</v>
      </c>
      <c r="B123" s="1" t="s">
        <v>14</v>
      </c>
      <c r="C123" s="1" t="s">
        <v>1500</v>
      </c>
      <c r="D123" s="1" t="str">
        <f>CONCATENATE("EM-741-012/2011",CHAR(10),"N-16-M-145951-291111 od 30.11.2011.")</f>
        <v>EM-741-012/2011
N-16-M-145951-291111 od 30.11.2011.</v>
      </c>
      <c r="E123" s="1" t="s">
        <v>15</v>
      </c>
      <c r="F123" s="1" t="str">
        <f>"144.180,50"</f>
        <v>144.180,50</v>
      </c>
      <c r="G123" s="1" t="str">
        <f>CONCATENATE("24.02.2012.",CHAR(10),"30 dana od dana uvođenja u posao")</f>
        <v>24.02.2012.
30 dana od dana uvođenja u posao</v>
      </c>
      <c r="H123" s="1" t="str">
        <f>CONCATENATE("TRSTENIK ELEKTRONIKA D.O.O., SESVETE-KRALJEVEC")</f>
        <v>TRSTENIK ELEKTRONIKA D.O.O., SESVETE-KRALJEVEC</v>
      </c>
      <c r="I123" s="1" t="s">
        <v>46</v>
      </c>
      <c r="J123" s="1" t="str">
        <f>CONCATENATE(SUBSTITUTE(SUBSTITUTE(SUBSTITUTE("180,177.00",".","-"),",","."),"-",","),CHAR(10),"konačno plaćeni iznos veći je od ugovorenog radi promjene stope PDV-a")</f>
        <v>180.177,00
konačno plaćeni iznos veći je od ugovorenog radi promjene stope PDV-a</v>
      </c>
      <c r="K123" s="2"/>
    </row>
    <row r="124" spans="1:11" ht="47.25" x14ac:dyDescent="0.25">
      <c r="A124" s="1" t="str">
        <f>"120/2012"</f>
        <v>120/2012</v>
      </c>
      <c r="B124" s="1" t="s">
        <v>14</v>
      </c>
      <c r="C124" s="1" t="s">
        <v>1501</v>
      </c>
      <c r="D124" s="1" t="str">
        <f>CONCATENATE("EM-938-009/2011",CHAR(10),"N-16-M-149943-211211 od 22.12.2011.")</f>
        <v>EM-938-009/2011
N-16-M-149943-211211 od 22.12.2011.</v>
      </c>
      <c r="E124" s="1" t="s">
        <v>15</v>
      </c>
      <c r="F124" s="1" t="str">
        <f>"163.527,00"</f>
        <v>163.527,00</v>
      </c>
      <c r="G124" s="1" t="str">
        <f>CONCATENATE("24.02.2012.",CHAR(10),"45 dana, računajući od dana uvođenja u posao")</f>
        <v>24.02.2012.
45 dana, računajući od dana uvođenja u posao</v>
      </c>
      <c r="H124" s="1" t="str">
        <f>CONCATENATE("''JEDVAJ-RAJIČ'' D.O.O., DUGO SELO")</f>
        <v>''JEDVAJ-RAJIČ'' D.O.O., DUGO SELO</v>
      </c>
      <c r="I124" s="1" t="s">
        <v>86</v>
      </c>
      <c r="J124" s="1" t="str">
        <f>SUBSTITUTE(SUBSTITUTE(SUBSTITUTE("185,898.53",".","-"),",","."),"-",",")</f>
        <v>185.898,53</v>
      </c>
      <c r="K124" s="2"/>
    </row>
    <row r="125" spans="1:11" ht="47.25" x14ac:dyDescent="0.25">
      <c r="A125" s="1" t="str">
        <f>"121/2012"</f>
        <v>121/2012</v>
      </c>
      <c r="B125" s="1" t="s">
        <v>14</v>
      </c>
      <c r="C125" s="1" t="s">
        <v>1502</v>
      </c>
      <c r="D125" s="1" t="str">
        <f>CONCATENATE("EM-733-012/2011",CHAR(10),"N-16-M-145962-291111 od 30.11.2011.")</f>
        <v>EM-733-012/2011
N-16-M-145962-291111 od 30.11.2011.</v>
      </c>
      <c r="E125" s="1" t="s">
        <v>15</v>
      </c>
      <c r="F125" s="1" t="str">
        <f>"220.030,88"</f>
        <v>220.030,88</v>
      </c>
      <c r="G125" s="1" t="str">
        <f>CONCATENATE("24.02.2012.",CHAR(10),"30 dana od dana uvođenja u posao")</f>
        <v>24.02.2012.
30 dana od dana uvođenja u posao</v>
      </c>
      <c r="H125" s="1" t="str">
        <f>CONCATENATE("ELEKTRO-ENERGETIKA D.O.O., ZAGREB")</f>
        <v>ELEKTRO-ENERGETIKA D.O.O., ZAGREB</v>
      </c>
      <c r="I125" s="1" t="s">
        <v>84</v>
      </c>
      <c r="J125" s="1" t="str">
        <f>SUBSTITUTE(SUBSTITUTE(SUBSTITUTE("257,429.10",".","-"),",","."),"-",",")</f>
        <v>257.429,10</v>
      </c>
      <c r="K125" s="2"/>
    </row>
    <row r="126" spans="1:11" ht="63" x14ac:dyDescent="0.25">
      <c r="A126" s="1" t="str">
        <f>"122/2012"</f>
        <v>122/2012</v>
      </c>
      <c r="B126" s="1" t="s">
        <v>14</v>
      </c>
      <c r="C126" s="1" t="s">
        <v>1503</v>
      </c>
      <c r="D126" s="1" t="str">
        <f>CONCATENATE("EV-768-012/2011",CHAR(10),"N-02-V-146816-031211 od 06.12.2011.")</f>
        <v>EV-768-012/2011
N-02-V-146816-031211 od 06.12.2011.</v>
      </c>
      <c r="E126" s="1" t="s">
        <v>15</v>
      </c>
      <c r="F126" s="1" t="str">
        <f>"1.388.870,24"</f>
        <v>1.388.870,24</v>
      </c>
      <c r="G126" s="1" t="str">
        <f>CONCATENATE("24.02.2012.",CHAR(10),"60 dana od dana uvođenja u posao")</f>
        <v>24.02.2012.
60 dana od dana uvođenja u posao</v>
      </c>
      <c r="H126" s="1" t="str">
        <f>CONCATENATE("CARIN D.O.O., ZAGREB",CHAR(10),"GEO-BIM D.O.O., SAMOBOR")</f>
        <v>CARIN D.O.O., ZAGREB
GEO-BIM D.O.O., SAMOBOR</v>
      </c>
      <c r="I126" s="1" t="s">
        <v>87</v>
      </c>
      <c r="J126" s="1" t="str">
        <f>CONCATENATE(SUBSTITUTE(SUBSTITUTE(SUBSTITUTE("1,736,000.22",".","-"),",","."),"-",","),CHAR(10),"konačno plaćeni iznos veći je od ugovorenog radi promjene stope PDV-a")</f>
        <v>1.736.000,22
konačno plaćeni iznos veći je od ugovorenog radi promjene stope PDV-a</v>
      </c>
      <c r="K126" s="2"/>
    </row>
    <row r="127" spans="1:11" ht="47.25" x14ac:dyDescent="0.25">
      <c r="A127" s="1" t="str">
        <f>"123/2012"</f>
        <v>123/2012</v>
      </c>
      <c r="B127" s="1" t="s">
        <v>14</v>
      </c>
      <c r="C127" s="1" t="s">
        <v>1504</v>
      </c>
      <c r="D127" s="1" t="str">
        <f>CONCATENATE("EM-785-012/2011",CHAR(10),"N-16-M-147022-051211 od 07.12.2011.")</f>
        <v>EM-785-012/2011
N-16-M-147022-051211 od 07.12.2011.</v>
      </c>
      <c r="E127" s="1" t="s">
        <v>15</v>
      </c>
      <c r="F127" s="1" t="str">
        <f>"241.984,58"</f>
        <v>241.984,58</v>
      </c>
      <c r="G127" s="1" t="str">
        <f>CONCATENATE("24.02.2012.",CHAR(10),"30 dana od dana uvođenja u posao")</f>
        <v>24.02.2012.
30 dana od dana uvođenja u posao</v>
      </c>
      <c r="H127" s="1" t="str">
        <f>CONCATENATE("M. SOLDO D.O.O., ZAGREB",CHAR(10),"GEOGIS D.O.O., ZAGREB")</f>
        <v>M. SOLDO D.O.O., ZAGREB
GEOGIS D.O.O., ZAGREB</v>
      </c>
      <c r="I127" s="2"/>
      <c r="J127" s="1"/>
      <c r="K127" s="2"/>
    </row>
    <row r="128" spans="1:11" ht="47.25" x14ac:dyDescent="0.25">
      <c r="A128" s="1" t="str">
        <f>"124/2012"</f>
        <v>124/2012</v>
      </c>
      <c r="B128" s="1" t="s">
        <v>11</v>
      </c>
      <c r="C128" s="1" t="s">
        <v>1505</v>
      </c>
      <c r="D128" s="1" t="str">
        <f>"EV-335-009/2011"</f>
        <v>EV-335-009/2011</v>
      </c>
      <c r="E128" s="2"/>
      <c r="F128" s="1" t="str">
        <f>"0,00"</f>
        <v>0,00</v>
      </c>
      <c r="G128" s="1" t="str">
        <f>CONCATENATE("24.02.2012.",CHAR(10),"135 dana, računajući od dana uvođenja u posao")</f>
        <v>24.02.2012.
135 dana, računajući od dana uvođenja u posao</v>
      </c>
      <c r="H128" s="1" t="str">
        <f>CONCATENATE("ĐURKIN D.O.O., ČAKOVEC")</f>
        <v>ĐURKIN D.O.O., ČAKOVEC</v>
      </c>
      <c r="I128" s="2"/>
      <c r="J128" s="1"/>
      <c r="K128" s="2"/>
    </row>
    <row r="129" spans="1:11" ht="47.25" x14ac:dyDescent="0.25">
      <c r="A129" s="1" t="str">
        <f>"125/2012"</f>
        <v>125/2012</v>
      </c>
      <c r="B129" s="1" t="s">
        <v>14</v>
      </c>
      <c r="C129" s="1" t="s">
        <v>1506</v>
      </c>
      <c r="D129" s="1" t="str">
        <f>CONCATENATE("EM-789-012/2011",CHAR(10),"N-16-M-148324-131211 od 14.12.2011.")</f>
        <v>EM-789-012/2011
N-16-M-148324-131211 od 14.12.2011.</v>
      </c>
      <c r="E129" s="1" t="s">
        <v>15</v>
      </c>
      <c r="F129" s="1" t="str">
        <f>"177.200,00"</f>
        <v>177.200,00</v>
      </c>
      <c r="G129" s="1" t="str">
        <f>CONCATENATE("24.02.2012.",CHAR(10),"12 mjeseci, računajući od dana obostranog potpisa Ugovora")</f>
        <v>24.02.2012.
12 mjeseci, računajući od dana obostranog potpisa Ugovora</v>
      </c>
      <c r="H129" s="1" t="str">
        <f>CONCATENATE("GEOAQUA D.O.O., ZAGREB",CHAR(10),"GEOINDEX D.O.O., ZAGREB")</f>
        <v>GEOAQUA D.O.O., ZAGREB
GEOINDEX D.O.O., ZAGREB</v>
      </c>
      <c r="I129" s="2"/>
      <c r="J129" s="1"/>
      <c r="K129" s="2"/>
    </row>
    <row r="130" spans="1:11" ht="63" x14ac:dyDescent="0.25">
      <c r="A130" s="1" t="str">
        <f>"126/2012"</f>
        <v>126/2012</v>
      </c>
      <c r="B130" s="1" t="s">
        <v>11</v>
      </c>
      <c r="C130" s="1" t="s">
        <v>1507</v>
      </c>
      <c r="D130" s="1" t="str">
        <f>CONCATENATE("EM-971-012/2011",CHAR(10),"N-32-M-100056-020112 od 03.01.2012.")</f>
        <v>EM-971-012/2011
N-32-M-100056-020112 od 03.01.2012.</v>
      </c>
      <c r="E130" s="1" t="s">
        <v>12</v>
      </c>
      <c r="F130" s="1" t="str">
        <f>"38.395,20"</f>
        <v>38.395,20</v>
      </c>
      <c r="G130" s="1" t="str">
        <f>CONCATENATE("24.02.2012.",CHAR(10),"15 dana od dana obostranog potpisa Aneksa")</f>
        <v>24.02.2012.
15 dana od dana obostranog potpisa Aneksa</v>
      </c>
      <c r="H130" s="1" t="str">
        <f>CONCATENATE("MEŠIĆ COM D.O.O., ZAGREB")</f>
        <v>MEŠIĆ COM D.O.O., ZAGREB</v>
      </c>
      <c r="I130" s="1" t="s">
        <v>88</v>
      </c>
      <c r="J130" s="1" t="str">
        <f>CONCATENATE(SUBSTITUTE(SUBSTITUTE(SUBSTITUTE("47,226.10",".","-"),",","."),"-",","),CHAR(10),"konačno plaćeni iznos veći je od ugovorenog radi promjene stope PDV-a")</f>
        <v>47.226,10
konačno plaćeni iznos veći je od ugovorenog radi promjene stope PDV-a</v>
      </c>
      <c r="K130" s="2"/>
    </row>
    <row r="131" spans="1:11" ht="47.25" x14ac:dyDescent="0.25">
      <c r="A131" s="1" t="str">
        <f>"127/2012"</f>
        <v>127/2012</v>
      </c>
      <c r="B131" s="1" t="s">
        <v>14</v>
      </c>
      <c r="C131" s="1" t="s">
        <v>1508</v>
      </c>
      <c r="D131" s="1" t="str">
        <f>CONCATENATE("EV-674-012/2011",CHAR(10),"N-02-V-147521-081211 od 09.12.2011.")</f>
        <v>EV-674-012/2011
N-02-V-147521-081211 od 09.12.2011.</v>
      </c>
      <c r="E131" s="1" t="s">
        <v>15</v>
      </c>
      <c r="F131" s="1" t="str">
        <f>"2.355.923,00"</f>
        <v>2.355.923,00</v>
      </c>
      <c r="G131" s="1" t="str">
        <f>CONCATENATE("01.03.2012.",CHAR(10),"90 dana od dana uvođenja u posao")</f>
        <v>01.03.2012.
90 dana od dana uvođenja u posao</v>
      </c>
      <c r="H131" s="1" t="str">
        <f>CONCATENATE("CARIN D.O.O., ZAGREB",CHAR(10),"GEO-BIM D.O.O., SAMOBOR")</f>
        <v>CARIN D.O.O., ZAGREB
GEO-BIM D.O.O., SAMOBOR</v>
      </c>
      <c r="I131" s="2"/>
      <c r="J131" s="1"/>
      <c r="K131" s="2"/>
    </row>
    <row r="132" spans="1:11" ht="47.25" x14ac:dyDescent="0.25">
      <c r="A132" s="1" t="str">
        <f>"128/2012"</f>
        <v>128/2012</v>
      </c>
      <c r="B132" s="1" t="s">
        <v>14</v>
      </c>
      <c r="C132" s="1" t="s">
        <v>1509</v>
      </c>
      <c r="D132" s="1" t="str">
        <f>CONCATENATE("EM-27-012/2011",CHAR(10),"N-16-M-111276-210311 od 22.03.2011.")</f>
        <v>EM-27-012/2011
N-16-M-111276-210311 od 22.03.2011.</v>
      </c>
      <c r="E132" s="1" t="s">
        <v>15</v>
      </c>
      <c r="F132" s="1" t="str">
        <f>"218.636,03"</f>
        <v>218.636,03</v>
      </c>
      <c r="G132" s="1" t="str">
        <f>CONCATENATE("01.03.2012.",CHAR(10),"180 dana od dana uvođenja u posao")</f>
        <v>01.03.2012.
180 dana od dana uvođenja u posao</v>
      </c>
      <c r="H132" s="1" t="str">
        <f>CONCATENATE("HEDOM D.O.O., ZAGREB")</f>
        <v>HEDOM D.O.O., ZAGREB</v>
      </c>
      <c r="I132" s="2"/>
      <c r="J132" s="1"/>
      <c r="K132" s="2"/>
    </row>
    <row r="133" spans="1:11" ht="47.25" x14ac:dyDescent="0.25">
      <c r="A133" s="1" t="str">
        <f>"129/2012"</f>
        <v>129/2012</v>
      </c>
      <c r="B133" s="1" t="s">
        <v>11</v>
      </c>
      <c r="C133" s="1" t="s">
        <v>1510</v>
      </c>
      <c r="D133" s="1" t="str">
        <f>CONCATENATE("EM-936-012/2011",CHAR(10),"N-32-M-152683-301211 od 02.01.2012.")</f>
        <v>EM-936-012/2011
N-32-M-152683-301211 od 02.01.2012.</v>
      </c>
      <c r="E133" s="1" t="s">
        <v>12</v>
      </c>
      <c r="F133" s="1" t="str">
        <f>"144.144,65"</f>
        <v>144.144,65</v>
      </c>
      <c r="G133" s="1" t="str">
        <f>CONCATENATE("01.03.2012.",CHAR(10),"30 dana računajući od dana uvođenja u posao")</f>
        <v>01.03.2012.
30 dana računajući od dana uvođenja u posao</v>
      </c>
      <c r="H133" s="1" t="str">
        <f>CONCATENATE("GTM D.O.O., VELIKA GORICA")</f>
        <v>GTM D.O.O., VELIKA GORICA</v>
      </c>
      <c r="I133" s="1" t="s">
        <v>23</v>
      </c>
      <c r="J133" s="1" t="str">
        <f>SUBSTITUTE(SUBSTITUTE(SUBSTITUTE("177,297.91",".","-"),",","."),"-",",")</f>
        <v>177.297,91</v>
      </c>
      <c r="K133" s="2"/>
    </row>
    <row r="134" spans="1:11" ht="63" x14ac:dyDescent="0.25">
      <c r="A134" s="1" t="str">
        <f>"130/2012"</f>
        <v>130/2012</v>
      </c>
      <c r="B134" s="1" t="s">
        <v>11</v>
      </c>
      <c r="C134" s="1" t="s">
        <v>1511</v>
      </c>
      <c r="D134" s="1" t="str">
        <f>CONCATENATE("EM-620-012/2011",CHAR(10),"N-32-M-151825-291211 od 30.12.2011.")</f>
        <v>EM-620-012/2011
N-32-M-151825-291211 od 30.12.2011.</v>
      </c>
      <c r="E134" s="1" t="s">
        <v>12</v>
      </c>
      <c r="F134" s="1" t="str">
        <f>"475.275,00"</f>
        <v>475.275,00</v>
      </c>
      <c r="G134" s="1" t="str">
        <f>CONCATENATE("01.03.2012.",CHAR(10),"10 dana po obostranom potpisu Aneksa")</f>
        <v>01.03.2012.
10 dana po obostranom potpisu Aneksa</v>
      </c>
      <c r="H134" s="1" t="str">
        <f>CONCATENATE("MEŠIĆ COM D.O.O., ZAGREB")</f>
        <v>MEŠIĆ COM D.O.O., ZAGREB</v>
      </c>
      <c r="I134" s="1" t="s">
        <v>89</v>
      </c>
      <c r="J134" s="1" t="str">
        <f>CONCATENATE(SUBSTITUTE(SUBSTITUTE(SUBSTITUTE("587,345.73",".","-"),",","."),"-",","),CHAR(10),"konačno plaćeni iznos veći je od ugovorenog radi promjene stope PDV-a")</f>
        <v>587.345,73
konačno plaćeni iznos veći je od ugovorenog radi promjene stope PDV-a</v>
      </c>
      <c r="K134" s="2"/>
    </row>
    <row r="135" spans="1:11" ht="47.25" x14ac:dyDescent="0.25">
      <c r="A135" s="1" t="str">
        <f>"131/2012"</f>
        <v>131/2012</v>
      </c>
      <c r="B135" s="1" t="s">
        <v>14</v>
      </c>
      <c r="C135" s="1" t="s">
        <v>1512</v>
      </c>
      <c r="D135" s="1" t="str">
        <f>CONCATENATE("EV-709-012/2011",CHAR(10),"N-02-V-144620-211111")</f>
        <v>EV-709-012/2011
N-02-V-144620-211111</v>
      </c>
      <c r="E135" s="1" t="s">
        <v>15</v>
      </c>
      <c r="F135" s="1" t="str">
        <f>"441.628,00"</f>
        <v>441.628,00</v>
      </c>
      <c r="G135" s="1" t="str">
        <f>CONCATENATE("05.03.2012.",CHAR(10),"60 dana od dana uvođenja u posao")</f>
        <v>05.03.2012.
60 dana od dana uvođenja u posao</v>
      </c>
      <c r="H135" s="1" t="str">
        <f>CONCATENATE("M. SOLDO D.O.O., ZAGREB",CHAR(10),"GEOGIS D.O.O., ZAGREB")</f>
        <v>M. SOLDO D.O.O., ZAGREB
GEOGIS D.O.O., ZAGREB</v>
      </c>
      <c r="I135" s="2"/>
      <c r="J135" s="1"/>
      <c r="K135" s="2"/>
    </row>
    <row r="136" spans="1:11" ht="63" x14ac:dyDescent="0.25">
      <c r="A136" s="1" t="str">
        <f>"132/2012"</f>
        <v>132/2012</v>
      </c>
      <c r="B136" s="1" t="s">
        <v>14</v>
      </c>
      <c r="C136" s="1" t="s">
        <v>1513</v>
      </c>
      <c r="D136" s="1" t="str">
        <f>CONCATENATE("EV-792-012/2011",CHAR(10),"N-02-V-149181-161211 od 19.12.2011.")</f>
        <v>EV-792-012/2011
N-02-V-149181-161211 od 19.12.2011.</v>
      </c>
      <c r="E136" s="1" t="s">
        <v>15</v>
      </c>
      <c r="F136" s="1" t="str">
        <f>"1.508.271,00"</f>
        <v>1.508.271,00</v>
      </c>
      <c r="G136" s="1" t="str">
        <f>CONCATENATE("05.03.2012.",CHAR(10),"60 dana od dana uvođenja u posao")</f>
        <v>05.03.2012.
60 dana od dana uvođenja u posao</v>
      </c>
      <c r="H136" s="1" t="str">
        <f>CONCATENATE("GIP PIONIR D.O.O., ZAGREB",CHAR(10),"GEO-MREŽA D.O.O., ZAGREB")</f>
        <v>GIP PIONIR D.O.O., ZAGREB
GEO-MREŽA D.O.O., ZAGREB</v>
      </c>
      <c r="I136" s="1" t="s">
        <v>90</v>
      </c>
      <c r="J136" s="1" t="str">
        <f>CONCATENATE(SUBSTITUTE(SUBSTITUTE(SUBSTITUTE("1,885,142.02",".","-"),",","."),"-",","),CHAR(10),"konačno plaćeni iznos veći je od ugovorenog radi promjene stope PDV-a")</f>
        <v>1.885.142,02
konačno plaćeni iznos veći je od ugovorenog radi promjene stope PDV-a</v>
      </c>
      <c r="K136" s="2"/>
    </row>
    <row r="137" spans="1:11" ht="63" x14ac:dyDescent="0.25">
      <c r="A137" s="1" t="str">
        <f>"133/2012"</f>
        <v>133/2012</v>
      </c>
      <c r="B137" s="1" t="s">
        <v>14</v>
      </c>
      <c r="C137" s="1" t="s">
        <v>1514</v>
      </c>
      <c r="D137" s="1" t="str">
        <f>CONCATENATE("EV-940-012/2011",CHAR(10),"N-02-V-148746-141211 od 16.12.2011.")</f>
        <v>EV-940-012/2011
N-02-V-148746-141211 od 16.12.2011.</v>
      </c>
      <c r="E137" s="1" t="s">
        <v>15</v>
      </c>
      <c r="F137" s="1" t="str">
        <f>"969.815,00"</f>
        <v>969.815,00</v>
      </c>
      <c r="G137" s="1" t="str">
        <f>CONCATENATE("05.03.2012.",CHAR(10),"12 mjeseci računajući od dana uvođenja u posao")</f>
        <v>05.03.2012.
12 mjeseci računajući od dana uvođenja u posao</v>
      </c>
      <c r="H137" s="1" t="str">
        <f>CONCATENATE("ŠUŠKOVIĆ-GRAĐENJE D.O.O., ZAGREB")</f>
        <v>ŠUŠKOVIĆ-GRAĐENJE D.O.O., ZAGREB</v>
      </c>
      <c r="I137" s="1" t="s">
        <v>91</v>
      </c>
      <c r="J137" s="1" t="str">
        <f>CONCATENATE(SUBSTITUTE(SUBSTITUTE(SUBSTITUTE("1,212,172.84",".","-"),",","."),"-",","),CHAR(10),"konačno plaćeni iznos veći je od ugovorenog radi promjene stope PDV-a")</f>
        <v>1.212.172,84
konačno plaćeni iznos veći je od ugovorenog radi promjene stope PDV-a</v>
      </c>
      <c r="K137" s="2"/>
    </row>
    <row r="138" spans="1:11" ht="63" x14ac:dyDescent="0.25">
      <c r="A138" s="1" t="str">
        <f>"134/2012"</f>
        <v>134/2012</v>
      </c>
      <c r="B138" s="1" t="s">
        <v>14</v>
      </c>
      <c r="C138" s="1" t="s">
        <v>1515</v>
      </c>
      <c r="D138" s="1" t="str">
        <f>CONCATENATE("EM-676-012/2011",CHAR(10),"N-16-M-150611-231211 od 27.12.2011.")</f>
        <v>EM-676-012/2011
N-16-M-150611-231211 od 27.12.2011.</v>
      </c>
      <c r="E138" s="1" t="s">
        <v>15</v>
      </c>
      <c r="F138" s="1" t="str">
        <f>"298.000,00"</f>
        <v>298.000,00</v>
      </c>
      <c r="G138" s="1" t="str">
        <f>CONCATENATE("05.03.2012.",CHAR(10),"2 mjeseca od dana potpisa Ugovora")</f>
        <v>05.03.2012.
2 mjeseca od dana potpisa Ugovora</v>
      </c>
      <c r="H138" s="1" t="str">
        <f>CONCATENATE("OKIT D.O.O., ZAGREB")</f>
        <v>OKIT D.O.O., ZAGREB</v>
      </c>
      <c r="I138" s="1" t="s">
        <v>92</v>
      </c>
      <c r="J138" s="1" t="str">
        <f>CONCATENATE(SUBSTITUTE(SUBSTITUTE(SUBSTITUTE("372,500.00",".","-"),",","."),"-",","),CHAR(10),"konačno plaćeni iznos veći je od ugovorenog radi promjene stope PDV-a")</f>
        <v>372.500,00
konačno plaćeni iznos veći je od ugovorenog radi promjene stope PDV-a</v>
      </c>
      <c r="K138" s="2"/>
    </row>
    <row r="139" spans="1:11" ht="47.25" x14ac:dyDescent="0.25">
      <c r="A139" s="1" t="str">
        <f>"135/2012"</f>
        <v>135/2012</v>
      </c>
      <c r="B139" s="1" t="s">
        <v>14</v>
      </c>
      <c r="C139" s="1" t="s">
        <v>1516</v>
      </c>
      <c r="D139" s="1" t="str">
        <f>CONCATENATE("EM-978-012/2011",CHAR(10),"N-16-M-149221-161211 od 19.12.2011.")</f>
        <v>EM-978-012/2011
N-16-M-149221-161211 od 19.12.2011.</v>
      </c>
      <c r="E139" s="1" t="s">
        <v>15</v>
      </c>
      <c r="F139" s="1" t="str">
        <f>"17.200,00"</f>
        <v>17.200,00</v>
      </c>
      <c r="G139" s="1" t="str">
        <f>CONCATENATE("05.03.2012.",CHAR(10),"60 dana računajući od dana obostranog potpisa Ugovora")</f>
        <v>05.03.2012.
60 dana računajući od dana obostranog potpisa Ugovora</v>
      </c>
      <c r="H139" s="1" t="str">
        <f>CONCATENATE("ZIDAR I SINOVI D.O.O., ZAGREB")</f>
        <v>ZIDAR I SINOVI D.O.O., ZAGREB</v>
      </c>
      <c r="I139" s="2"/>
      <c r="J139" s="1"/>
      <c r="K139" s="2"/>
    </row>
    <row r="140" spans="1:11" ht="47.25" x14ac:dyDescent="0.25">
      <c r="A140" s="1" t="str">
        <f>"136/2012"</f>
        <v>136/2012</v>
      </c>
      <c r="B140" s="1" t="s">
        <v>14</v>
      </c>
      <c r="C140" s="1" t="s">
        <v>1517</v>
      </c>
      <c r="D140" s="1" t="str">
        <f>CONCATENATE("EV-146-012/2011",CHAR(10),"N-02-V-128484-130711 od 14.07.2011.")</f>
        <v>EV-146-012/2011
N-02-V-128484-130711 od 14.07.2011.</v>
      </c>
      <c r="E140" s="1" t="s">
        <v>15</v>
      </c>
      <c r="F140" s="1" t="str">
        <f>"3.188.818,40"</f>
        <v>3.188.818,40</v>
      </c>
      <c r="G140" s="1" t="str">
        <f>CONCATENATE("06.03.2012.",CHAR(10),"12 mjeseci od dana uvođenja u posao")</f>
        <v>06.03.2012.
12 mjeseci od dana uvođenja u posao</v>
      </c>
      <c r="H140" s="1" t="str">
        <f>CONCATENATE("GEORAD D.O.O., ZAGREB")</f>
        <v>GEORAD D.O.O., ZAGREB</v>
      </c>
      <c r="I140" s="1" t="s">
        <v>93</v>
      </c>
      <c r="J140" s="1" t="str">
        <f>SUBSTITUTE(SUBSTITUTE(SUBSTITUTE("3,797,508.28",".","-"),",","."),"-",",")</f>
        <v>3.797.508,28</v>
      </c>
      <c r="K140" s="2"/>
    </row>
    <row r="141" spans="1:11" ht="47.25" x14ac:dyDescent="0.25">
      <c r="A141" s="1" t="str">
        <f>"137/2012"</f>
        <v>137/2012</v>
      </c>
      <c r="B141" s="1" t="s">
        <v>14</v>
      </c>
      <c r="C141" s="1" t="s">
        <v>1518</v>
      </c>
      <c r="D141" s="1" t="str">
        <f>CONCATENATE("EV-554-012/2011",CHAR(10),"N-02-V-136340-190911 od 20.09.2011.")</f>
        <v>EV-554-012/2011
N-02-V-136340-190911 od 20.09.2011.</v>
      </c>
      <c r="E141" s="1" t="s">
        <v>15</v>
      </c>
      <c r="F141" s="1" t="str">
        <f>"594.250,00"</f>
        <v>594.250,00</v>
      </c>
      <c r="G141" s="1" t="str">
        <f>CONCATENATE("06.03.2012.",CHAR(10),"60 dana, računajući od dana uvođenja u posao")</f>
        <v>06.03.2012.
60 dana, računajući od dana uvođenja u posao</v>
      </c>
      <c r="H141" s="1" t="str">
        <f>CONCATENATE("MONTEL D.O.O., ZAGREB")</f>
        <v>MONTEL D.O.O., ZAGREB</v>
      </c>
      <c r="I141" s="2"/>
      <c r="J141" s="1"/>
      <c r="K141" s="2"/>
    </row>
    <row r="142" spans="1:11" ht="63" x14ac:dyDescent="0.25">
      <c r="A142" s="1" t="str">
        <f>"138/2012"</f>
        <v>138/2012</v>
      </c>
      <c r="B142" s="1" t="s">
        <v>14</v>
      </c>
      <c r="C142" s="1" t="s">
        <v>1519</v>
      </c>
      <c r="D142" s="1" t="str">
        <f>CONCATENATE("EM-817-012/2011",CHAR(10),"N-16-M-147754-091211 od 12.12.2011.")</f>
        <v>EM-817-012/2011
N-16-M-147754-091211 od 12.12.2011.</v>
      </c>
      <c r="E142" s="1" t="s">
        <v>15</v>
      </c>
      <c r="F142" s="1" t="str">
        <f>"69.900,00"</f>
        <v>69.900,00</v>
      </c>
      <c r="G142" s="1" t="str">
        <f>CONCATENATE("07.03.2012.",CHAR(10),"150 dana, sukladno dinamici izvođenja radova")</f>
        <v>07.03.2012.
150 dana, sukladno dinamici izvođenja radova</v>
      </c>
      <c r="H142" s="1" t="str">
        <f>CONCATENATE("GEODETIKA D.O.O., ZAGREB")</f>
        <v>GEODETIKA D.O.O., ZAGREB</v>
      </c>
      <c r="I142" s="1" t="s">
        <v>24</v>
      </c>
      <c r="J142" s="1" t="str">
        <f>CONCATENATE(SUBSTITUTE(SUBSTITUTE(SUBSTITUTE("87,375.00",".","-"),",","."),"-",","),CHAR(10),"konačno plaćeni iznos veći je od ugovorenog radi promjene stope PDV-a")</f>
        <v>87.375,00
konačno plaćeni iznos veći je od ugovorenog radi promjene stope PDV-a</v>
      </c>
      <c r="K142" s="2"/>
    </row>
    <row r="143" spans="1:11" ht="63" x14ac:dyDescent="0.25">
      <c r="A143" s="1" t="str">
        <f>"139/2012"</f>
        <v>139/2012</v>
      </c>
      <c r="B143" s="1" t="s">
        <v>14</v>
      </c>
      <c r="C143" s="1" t="s">
        <v>1520</v>
      </c>
      <c r="D143" s="1" t="str">
        <f>CONCATENATE("EM-734-12/2011",CHAR(10),"N-16-M-145308-241111 od 25.11.2011.")</f>
        <v>EM-734-12/2011
N-16-M-145308-241111 od 25.11.2011.</v>
      </c>
      <c r="E143" s="1" t="s">
        <v>15</v>
      </c>
      <c r="F143" s="1" t="str">
        <f>"211.253,90"</f>
        <v>211.253,90</v>
      </c>
      <c r="G143" s="1" t="str">
        <f>CONCATENATE("07.03.2012.",CHAR(10),"30 dana, računajući do dana uvođenja u posao")</f>
        <v>07.03.2012.
30 dana, računajući do dana uvođenja u posao</v>
      </c>
      <c r="H143" s="1" t="str">
        <f>CONCATENATE("MONTEL D.O.O., ZAGREB")</f>
        <v>MONTEL D.O.O., ZAGREB</v>
      </c>
      <c r="I143" s="1" t="s">
        <v>36</v>
      </c>
      <c r="J143" s="1" t="str">
        <f>CONCATENATE(SUBSTITUTE(SUBSTITUTE(SUBSTITUTE("263,800.16",".","-"),",","."),"-",","),CHAR(10),"konačno plaćeni iznos veći je od ugovorenog radi promjene stope PDV-a")</f>
        <v>263.800,16
konačno plaćeni iznos veći je od ugovorenog radi promjene stope PDV-a</v>
      </c>
      <c r="K143" s="2"/>
    </row>
    <row r="144" spans="1:11" ht="47.25" x14ac:dyDescent="0.25">
      <c r="A144" s="1" t="str">
        <f>"140/2012"</f>
        <v>140/2012</v>
      </c>
      <c r="B144" s="1" t="s">
        <v>14</v>
      </c>
      <c r="C144" s="1" t="s">
        <v>1521</v>
      </c>
      <c r="D144" s="1" t="str">
        <f>CONCATENATE("EM-824-012/2011",CHAR(10),"N-16-M-151205-281211 od 29.12.2011.")</f>
        <v>EM-824-012/2011
N-16-M-151205-281211 od 29.12.2011.</v>
      </c>
      <c r="E144" s="1" t="s">
        <v>15</v>
      </c>
      <c r="F144" s="1" t="str">
        <f>"24.000,00"</f>
        <v>24.000,00</v>
      </c>
      <c r="G144" s="1" t="str">
        <f>CONCATENATE("08.03.2012.",CHAR(10),"90 dana od dana obostranog potpisa Ugovora")</f>
        <v>08.03.2012.
90 dana od dana obostranog potpisa Ugovora</v>
      </c>
      <c r="H144" s="1" t="str">
        <f>CONCATENATE("TIM PROJEKT D.O.O., ZAGREB")</f>
        <v>TIM PROJEKT D.O.O., ZAGREB</v>
      </c>
      <c r="I144" s="2"/>
      <c r="J144" s="1"/>
      <c r="K144" s="2"/>
    </row>
    <row r="145" spans="1:11" ht="63" x14ac:dyDescent="0.25">
      <c r="A145" s="1" t="str">
        <f>"141/2012"</f>
        <v>141/2012</v>
      </c>
      <c r="B145" s="1" t="s">
        <v>14</v>
      </c>
      <c r="C145" s="1" t="s">
        <v>1522</v>
      </c>
      <c r="D145" s="1" t="str">
        <f>CONCATENATE("EM-784-012/2011",CHAR(10),"N-16-M-150327-221211 od 23.12.2011.")</f>
        <v>EM-784-012/2011
N-16-M-150327-221211 od 23.12.2011.</v>
      </c>
      <c r="E145" s="1" t="s">
        <v>15</v>
      </c>
      <c r="F145" s="1" t="str">
        <f>"39.000,00"</f>
        <v>39.000,00</v>
      </c>
      <c r="G145" s="1" t="str">
        <f>CONCATENATE("09.03.2012.",CHAR(10),"5 mjeseci od dana uvođenja u posao")</f>
        <v>09.03.2012.
5 mjeseci od dana uvođenja u posao</v>
      </c>
      <c r="H145" s="1" t="str">
        <f>CONCATENATE("ARHINGTRADE D.O.O., ZAGREB")</f>
        <v>ARHINGTRADE D.O.O., ZAGREB</v>
      </c>
      <c r="I145" s="1" t="s">
        <v>28</v>
      </c>
      <c r="J145" s="1" t="str">
        <f>CONCATENATE(SUBSTITUTE(SUBSTITUTE(SUBSTITUTE("48,750.00",".","-"),",","."),"-",","),CHAR(10),"konačno plaćeni iznos veći je od ugovorenog radi promjene stope PDV-a")</f>
        <v>48.750,00
konačno plaćeni iznos veći je od ugovorenog radi promjene stope PDV-a</v>
      </c>
      <c r="K145" s="2"/>
    </row>
    <row r="146" spans="1:11" ht="47.25" x14ac:dyDescent="0.25">
      <c r="A146" s="1" t="str">
        <f>"142/2012"</f>
        <v>142/2012</v>
      </c>
      <c r="B146" s="1" t="s">
        <v>14</v>
      </c>
      <c r="C146" s="1" t="s">
        <v>1523</v>
      </c>
      <c r="D146" s="1" t="str">
        <f>CONCATENATE("EV-710-006/2011",CHAR(10),"N-30-V-145062-231111 od 24.11.2011.")</f>
        <v>EV-710-006/2011
N-30-V-145062-231111 od 24.11.2011.</v>
      </c>
      <c r="E146" s="1" t="s">
        <v>12</v>
      </c>
      <c r="F146" s="1" t="str">
        <f>"1.367.354,10"</f>
        <v>1.367.354,10</v>
      </c>
      <c r="G146" s="1" t="str">
        <f>CONCATENATE("09.03.2012.",CHAR(10),"12 mjeseci od dana obostranog potpisa Ugovora")</f>
        <v>09.03.2012.
12 mjeseci od dana obostranog potpisa Ugovora</v>
      </c>
      <c r="H146" s="1" t="str">
        <f>CONCATENATE("HP-HRVATSKA POŠTA, ZAGREB")</f>
        <v>HP-HRVATSKA POŠTA, ZAGREB</v>
      </c>
      <c r="I146" s="1" t="s">
        <v>94</v>
      </c>
      <c r="J146" s="1" t="str">
        <f>SUBSTITUTE(SUBSTITUTE(SUBSTITUTE("1,310,575.54",".","-"),",","."),"-",",")</f>
        <v>1.310.575,54</v>
      </c>
      <c r="K146" s="2"/>
    </row>
    <row r="147" spans="1:11" ht="47.25" x14ac:dyDescent="0.25">
      <c r="A147" s="1" t="str">
        <f>"143/2012"</f>
        <v>143/2012</v>
      </c>
      <c r="B147" s="1" t="s">
        <v>14</v>
      </c>
      <c r="C147" s="1" t="s">
        <v>1524</v>
      </c>
      <c r="D147" s="1" t="str">
        <f>CONCATENATE("EM-981-012/2011",CHAR(10),"N-16-M-151676-291211 od 30.12.2011.")</f>
        <v>EM-981-012/2011
N-16-M-151676-291211 od 30.12.2011.</v>
      </c>
      <c r="E147" s="1" t="s">
        <v>15</v>
      </c>
      <c r="F147" s="1" t="str">
        <f>"22.400,00"</f>
        <v>22.400,00</v>
      </c>
      <c r="G147" s="1" t="str">
        <f>CONCATENATE("09.03.2012.",CHAR(10),"60 dana računajući od dana obostranog potpisa Ugovora")</f>
        <v>09.03.2012.
60 dana računajući od dana obostranog potpisa Ugovora</v>
      </c>
      <c r="H147" s="1" t="str">
        <f>CONCATENATE("ZIDAR I SINOVI D.O.O., ZAGREB")</f>
        <v>ZIDAR I SINOVI D.O.O., ZAGREB</v>
      </c>
      <c r="I147" s="2"/>
      <c r="J147" s="1"/>
      <c r="K147" s="2"/>
    </row>
    <row r="148" spans="1:11" ht="63" x14ac:dyDescent="0.25">
      <c r="A148" s="1" t="str">
        <f>"144/2012"</f>
        <v>144/2012</v>
      </c>
      <c r="B148" s="1" t="s">
        <v>14</v>
      </c>
      <c r="C148" s="1" t="s">
        <v>1525</v>
      </c>
      <c r="D148" s="1" t="str">
        <f>CONCATENATE("EM-773-005/2011",CHAR(10),"N-16-M-147573-081211 od 09.12.2011.")</f>
        <v>EM-773-005/2011
N-16-M-147573-081211 od 09.12.2011.</v>
      </c>
      <c r="E148" s="1" t="s">
        <v>15</v>
      </c>
      <c r="F148" s="1" t="str">
        <f>"60.555,64"</f>
        <v>60.555,64</v>
      </c>
      <c r="G148" s="1" t="str">
        <f>CONCATENATE("09.03.2012.",CHAR(10),"30 dana od dana uvođenja u posao")</f>
        <v>09.03.2012.
30 dana od dana uvođenja u posao</v>
      </c>
      <c r="H148" s="1" t="str">
        <f>CONCATENATE("GEORAD D.O.O., ZAGREB",CHAR(10),"GEODIST D.O.O., ZAGREB")</f>
        <v>GEORAD D.O.O., ZAGREB
GEODIST D.O.O., ZAGREB</v>
      </c>
      <c r="I148" s="1" t="s">
        <v>95</v>
      </c>
      <c r="J148" s="1" t="str">
        <f>CONCATENATE(SUBSTITUTE(SUBSTITUTE(SUBSTITUTE("75,230.50",".","-"),",","."),"-",","),CHAR(10),"konačno plaćeni iznos veći je od ugovorenog radi promjene stope PDV-a")</f>
        <v>75.230,50
konačno plaćeni iznos veći je od ugovorenog radi promjene stope PDV-a</v>
      </c>
      <c r="K148" s="2"/>
    </row>
    <row r="149" spans="1:11" ht="47.25" x14ac:dyDescent="0.25">
      <c r="A149" s="1" t="str">
        <f>"145/2012"</f>
        <v>145/2012</v>
      </c>
      <c r="B149" s="1" t="s">
        <v>14</v>
      </c>
      <c r="C149" s="1" t="s">
        <v>1526</v>
      </c>
      <c r="D149" s="1" t="str">
        <f>CONCATENATE("EV-728-012/2011",CHAR(10),"N-02-V-146529-011211 od 02.12.2011.")</f>
        <v>EV-728-012/2011
N-02-V-146529-011211 od 02.12.2011.</v>
      </c>
      <c r="E149" s="1" t="s">
        <v>15</v>
      </c>
      <c r="F149" s="1" t="str">
        <f>"638.110,80"</f>
        <v>638.110,80</v>
      </c>
      <c r="G149" s="1" t="str">
        <f>CONCATENATE("09.03.2012.",CHAR(10),"360 dana, računajući od dana uvođenja u posao")</f>
        <v>09.03.2012.
360 dana, računajući od dana uvođenja u posao</v>
      </c>
      <c r="H149" s="1" t="str">
        <f>CONCATENATE("ELICOM D.O.O., ZAGREB")</f>
        <v>ELICOM D.O.O., ZAGREB</v>
      </c>
      <c r="I149" s="2"/>
      <c r="J149" s="1"/>
      <c r="K149" s="2"/>
    </row>
    <row r="150" spans="1:11" ht="63" x14ac:dyDescent="0.25">
      <c r="A150" s="1" t="str">
        <f>"146/2012"</f>
        <v>146/2012</v>
      </c>
      <c r="B150" s="1" t="s">
        <v>14</v>
      </c>
      <c r="C150" s="1" t="s">
        <v>1527</v>
      </c>
      <c r="D150" s="1" t="str">
        <f>CONCATENATE("EM-731-012/2011",CHAR(10),"N-16-M-146502-011211 od 02.12.2011.")</f>
        <v>EM-731-012/2011
N-16-M-146502-011211 od 02.12.2011.</v>
      </c>
      <c r="E150" s="1" t="s">
        <v>15</v>
      </c>
      <c r="F150" s="1" t="str">
        <f>"97.719,00"</f>
        <v>97.719,00</v>
      </c>
      <c r="G150" s="1" t="str">
        <f>CONCATENATE("09.03.2012.",CHAR(10),"30 dana, računajući od dana uvođenja u posao")</f>
        <v>09.03.2012.
30 dana, računajući od dana uvođenja u posao</v>
      </c>
      <c r="H150" s="1" t="str">
        <f>CONCATENATE("MONTEL D.O.O., ZAGREB")</f>
        <v>MONTEL D.O.O., ZAGREB</v>
      </c>
      <c r="I150" s="1" t="s">
        <v>96</v>
      </c>
      <c r="J150" s="1" t="str">
        <f>CONCATENATE(SUBSTITUTE(SUBSTITUTE(SUBSTITUTE("122,101.12",".","-"),",","."),"-",","),CHAR(10),"konačno plaćeni iznos veći je od ugovorenog radi promjene stope PDV-a")</f>
        <v>122.101,12
konačno plaćeni iznos veći je od ugovorenog radi promjene stope PDV-a</v>
      </c>
      <c r="K150" s="2"/>
    </row>
    <row r="151" spans="1:11" ht="63" x14ac:dyDescent="0.25">
      <c r="A151" s="1" t="str">
        <f>"147/2012"</f>
        <v>147/2012</v>
      </c>
      <c r="B151" s="1" t="s">
        <v>11</v>
      </c>
      <c r="C151" s="1" t="s">
        <v>1528</v>
      </c>
      <c r="D151" s="1" t="str">
        <f>"EV-1003-009/2011"</f>
        <v>EV-1003-009/2011</v>
      </c>
      <c r="E151" s="2"/>
      <c r="F151" s="1" t="str">
        <f>"0,00"</f>
        <v>0,00</v>
      </c>
      <c r="G151" s="1" t="str">
        <f>CONCATENATE("09.03.2012.",CHAR(10),"do sklapanja novog")</f>
        <v>09.03.2012.
do sklapanja novog</v>
      </c>
      <c r="H151" s="1" t="str">
        <f>CONCATENATE("V GRUPA D.O.O., ZAGREB")</f>
        <v>V GRUPA D.O.O., ZAGREB</v>
      </c>
      <c r="I151" s="2"/>
      <c r="J151" s="1"/>
      <c r="K151" s="2"/>
    </row>
    <row r="152" spans="1:11" ht="63" x14ac:dyDescent="0.25">
      <c r="A152" s="1" t="str">
        <f>"148/2012"</f>
        <v>148/2012</v>
      </c>
      <c r="B152" s="1" t="s">
        <v>14</v>
      </c>
      <c r="C152" s="1" t="s">
        <v>1529</v>
      </c>
      <c r="D152" s="1" t="str">
        <f>CONCATENATE("EV-570-012/2011",CHAR(10),"N-02-V-143490-141111 od 15.11.2011.")</f>
        <v>EV-570-012/2011
N-02-V-143490-141111 od 15.11.2011.</v>
      </c>
      <c r="E152" s="1" t="s">
        <v>15</v>
      </c>
      <c r="F152" s="1" t="str">
        <f>"648.551,40"</f>
        <v>648.551,40</v>
      </c>
      <c r="G152" s="1" t="str">
        <f>CONCATENATE("09.03.2012.",CHAR(10),"1 godina, računajući od dana uvođenja u posao")</f>
        <v>09.03.2012.
1 godina, računajući od dana uvođenja u posao</v>
      </c>
      <c r="H152" s="1" t="str">
        <f>CONCATENATE("ELICOM D.O.O., ZAGREB")</f>
        <v>ELICOM D.O.O., ZAGREB</v>
      </c>
      <c r="I152" s="2"/>
      <c r="J152" s="1"/>
      <c r="K152" s="2"/>
    </row>
    <row r="153" spans="1:11" ht="78.75" x14ac:dyDescent="0.25">
      <c r="A153" s="1" t="str">
        <f>"149/2012"</f>
        <v>149/2012</v>
      </c>
      <c r="B153" s="1" t="s">
        <v>26</v>
      </c>
      <c r="C153" s="1" t="s">
        <v>1530</v>
      </c>
      <c r="D153" s="1" t="str">
        <f>"EV-448-019/2011."</f>
        <v>EV-448-019/2011.</v>
      </c>
      <c r="E153" s="1" t="s">
        <v>97</v>
      </c>
      <c r="F153" s="1" t="str">
        <f>"395.287,50"</f>
        <v>395.287,50</v>
      </c>
      <c r="G153" s="1" t="str">
        <f>CONCATENATE("09.03.2012.",CHAR(10),"sukcesivno, tijekom 12 mjeseci")</f>
        <v>09.03.2012.
sukcesivno, tijekom 12 mjeseci</v>
      </c>
      <c r="H153" s="1" t="str">
        <f>CONCATENATE("LUKOIL CROATIA D.O.O., ZAGREB")</f>
        <v>LUKOIL CROATIA D.O.O., ZAGREB</v>
      </c>
      <c r="I153" s="1" t="s">
        <v>69</v>
      </c>
      <c r="J153" s="1" t="str">
        <f>CONCATENATE(SUBSTITUTE(SUBSTITUTE(SUBSTITUTE("525,933.22",".","-"),",","."),"-",","),CHAR(10),"konačno plaćeni iznos veći je od ugovorenog budući da je cijena naftnih derivata bila promjenjiva tijekom trajanja ugovora")</f>
        <v>525.933,22
konačno plaćeni iznos veći je od ugovorenog budući da je cijena naftnih derivata bila promjenjiva tijekom trajanja ugovora</v>
      </c>
      <c r="K153" s="2"/>
    </row>
    <row r="154" spans="1:11" ht="63" x14ac:dyDescent="0.25">
      <c r="A154" s="1" t="str">
        <f>"150/2012"</f>
        <v>150/2012</v>
      </c>
      <c r="B154" s="1" t="s">
        <v>14</v>
      </c>
      <c r="C154" s="1" t="s">
        <v>1531</v>
      </c>
      <c r="D154" s="1" t="str">
        <f>CONCATENATE("EV-775-009/2011",CHAR(10),"N-02-V-145917-291111 od 30.11.2011.")</f>
        <v>EV-775-009/2011
N-02-V-145917-291111 od 30.11.2011.</v>
      </c>
      <c r="E154" s="1" t="s">
        <v>15</v>
      </c>
      <c r="F154" s="1" t="str">
        <f>"1.197.944,59"</f>
        <v>1.197.944,59</v>
      </c>
      <c r="G154" s="1" t="str">
        <f>CONCATENATE("09.03.2012.",CHAR(10),"60 dana računajući od dana uvođenja u posao")</f>
        <v>09.03.2012.
60 dana računajući od dana uvođenja u posao</v>
      </c>
      <c r="H154" s="1" t="str">
        <f>CONCATENATE("MEŠIĆ COM D.O.O., ZAGREB",CHAR(10),"ATEST - KONTROLA D.O.O., ZAGREB")</f>
        <v>MEŠIĆ COM D.O.O., ZAGREB
ATEST - KONTROLA D.O.O., ZAGREB</v>
      </c>
      <c r="I154" s="1" t="s">
        <v>98</v>
      </c>
      <c r="J154" s="1" t="str">
        <f>CONCATENATE(SUBSTITUTE(SUBSTITUTE(SUBSTITUTE("1,504,594.07",".","-"),",","."),"-",","),CHAR(10),"konačno plaćeni iznos veći je od ugovorenog radi promjene stope PDV-a")</f>
        <v>1.504.594,07
konačno plaćeni iznos veći je od ugovorenog radi promjene stope PDV-a</v>
      </c>
      <c r="K154" s="2"/>
    </row>
    <row r="155" spans="1:11" ht="63" x14ac:dyDescent="0.25">
      <c r="A155" s="1" t="str">
        <f>"151/2012"</f>
        <v>151/2012</v>
      </c>
      <c r="B155" s="1" t="s">
        <v>14</v>
      </c>
      <c r="C155" s="1" t="s">
        <v>1532</v>
      </c>
      <c r="D155" s="1" t="str">
        <f>CONCATENATE("EM-809-012/2011",CHAR(10),"N-16-M-149602-201211 od 21.12.2011.")</f>
        <v>EM-809-012/2011
N-16-M-149602-201211 od 21.12.2011.</v>
      </c>
      <c r="E155" s="1" t="s">
        <v>15</v>
      </c>
      <c r="F155" s="1" t="str">
        <f>"21.000,00"</f>
        <v>21.000,00</v>
      </c>
      <c r="G155" s="1" t="str">
        <f>CONCATENATE("09.03.2012.",CHAR(10),"90 dana, računajući od dana obostranog potpis Ugovora")</f>
        <v>09.03.2012.
90 dana, računajući od dana obostranog potpis Ugovora</v>
      </c>
      <c r="H155" s="1" t="str">
        <f>CONCATENATE("PGT ŠKUNCA D.O.O., ZAGREB-SUSEDGRAD")</f>
        <v>PGT ŠKUNCA D.O.O., ZAGREB-SUSEDGRAD</v>
      </c>
      <c r="I155" s="1" t="s">
        <v>99</v>
      </c>
      <c r="J155" s="1" t="str">
        <f>CONCATENATE(SUBSTITUTE(SUBSTITUTE(SUBSTITUTE("26,250.00",".","-"),",","."),"-",","),CHAR(10),"konačno plaćeni iznos veći je od ugovorenog radi promjene stope PDV-a")</f>
        <v>26.250,00
konačno plaćeni iznos veći je od ugovorenog radi promjene stope PDV-a</v>
      </c>
      <c r="K155" s="2"/>
    </row>
    <row r="156" spans="1:11" ht="47.25" x14ac:dyDescent="0.25">
      <c r="A156" s="1" t="str">
        <f>"152/2012"</f>
        <v>152/2012</v>
      </c>
      <c r="B156" s="1" t="s">
        <v>14</v>
      </c>
      <c r="C156" s="1" t="s">
        <v>1533</v>
      </c>
      <c r="D156" s="1" t="str">
        <f>CONCATENATE("EM-808-012/2011",CHAR(10),"N-16-M-149613-201211 od 21.12.2011.")</f>
        <v>EM-808-012/2011
N-16-M-149613-201211 od 21.12.2011.</v>
      </c>
      <c r="E156" s="1" t="s">
        <v>15</v>
      </c>
      <c r="F156" s="1" t="str">
        <f>"28.000,00"</f>
        <v>28.000,00</v>
      </c>
      <c r="G156" s="1" t="str">
        <f>CONCATENATE("09.03.2012.",CHAR(10),"90 dana, računajući od dana obostranog potpisa Ugovora")</f>
        <v>09.03.2012.
90 dana, računajući od dana obostranog potpisa Ugovora</v>
      </c>
      <c r="H156" s="1" t="str">
        <f>CONCATENATE("IPT-INŽENJERING D.O.O., ZAGREB")</f>
        <v>IPT-INŽENJERING D.O.O., ZAGREB</v>
      </c>
      <c r="I156" s="2"/>
      <c r="J156" s="1"/>
      <c r="K156" s="2"/>
    </row>
    <row r="157" spans="1:11" ht="47.25" x14ac:dyDescent="0.25">
      <c r="A157" s="1" t="str">
        <f>"153/2012"</f>
        <v>153/2012</v>
      </c>
      <c r="B157" s="1" t="s">
        <v>14</v>
      </c>
      <c r="C157" s="1" t="s">
        <v>1534</v>
      </c>
      <c r="D157" s="1" t="str">
        <f>CONCATENATE("EM-964-007/2011",CHAR(10),"N-16-M-149915-211211 od 22.12.2012.")</f>
        <v>EM-964-007/2011
N-16-M-149915-211211 od 22.12.2012.</v>
      </c>
      <c r="E157" s="1" t="s">
        <v>15</v>
      </c>
      <c r="F157" s="1" t="str">
        <f>"39.658,00"</f>
        <v>39.658,00</v>
      </c>
      <c r="G157" s="1" t="str">
        <f>CONCATENATE("12.03.2012.",CHAR(10),"40 dana od dana obostranog potpisa Ugovora")</f>
        <v>12.03.2012.
40 dana od dana obostranog potpisa Ugovora</v>
      </c>
      <c r="H157" s="1" t="str">
        <f>CONCATENATE("FORSET D.O.O., ZAGREB")</f>
        <v>FORSET D.O.O., ZAGREB</v>
      </c>
      <c r="I157" s="1" t="s">
        <v>100</v>
      </c>
      <c r="J157" s="1" t="str">
        <f>SUBSTITUTE(SUBSTITUTE(SUBSTITUTE("45,528.50",".","-"),",","."),"-",",")</f>
        <v>45.528,50</v>
      </c>
      <c r="K157" s="2"/>
    </row>
    <row r="158" spans="1:11" ht="47.25" x14ac:dyDescent="0.25">
      <c r="A158" s="1" t="str">
        <f>"154/2012"</f>
        <v>154/2012</v>
      </c>
      <c r="B158" s="1" t="s">
        <v>14</v>
      </c>
      <c r="C158" s="1" t="s">
        <v>1535</v>
      </c>
      <c r="D158" s="1" t="str">
        <f>CONCATENATE("EM-744-012/2011",CHAR(10),"N-16-M-145894-281111 od 29.11.2011.")</f>
        <v>EM-744-012/2011
N-16-M-145894-281111 od 29.11.2011.</v>
      </c>
      <c r="E158" s="1" t="s">
        <v>15</v>
      </c>
      <c r="F158" s="1" t="str">
        <f>"104.637,70"</f>
        <v>104.637,70</v>
      </c>
      <c r="G158" s="1" t="str">
        <f>CONCATENATE("12.03.2012.",CHAR(10),"30 dana od dana uvođenja u posao")</f>
        <v>12.03.2012.
30 dana od dana uvođenja u posao</v>
      </c>
      <c r="H158" s="1" t="str">
        <f>CONCATENATE("TRSTENIK ELEKTRONIKA D.O.O., SESVETE-KRALJEVEC")</f>
        <v>TRSTENIK ELEKTRONIKA D.O.O., SESVETE-KRALJEVEC</v>
      </c>
      <c r="I158" s="2"/>
      <c r="J158" s="1"/>
      <c r="K158" s="2"/>
    </row>
    <row r="159" spans="1:11" ht="47.25" x14ac:dyDescent="0.25">
      <c r="A159" s="1" t="str">
        <f>"155/2012"</f>
        <v>155/2012</v>
      </c>
      <c r="B159" s="1" t="s">
        <v>14</v>
      </c>
      <c r="C159" s="1" t="s">
        <v>1536</v>
      </c>
      <c r="D159" s="1" t="str">
        <f>CONCATENATE("EV-976-012/2011",CHAR(10),"N-02-V-150089-211211 od 22.12.2011.")</f>
        <v>EV-976-012/2011
N-02-V-150089-211211 od 22.12.2011.</v>
      </c>
      <c r="E159" s="1" t="s">
        <v>15</v>
      </c>
      <c r="F159" s="1" t="str">
        <f>"109.000,00"</f>
        <v>109.000,00</v>
      </c>
      <c r="G159" s="1" t="str">
        <f>CONCATENATE("12.03.2012.",CHAR(10),"u roku 30 dana od pojedine narudžbe naručitelja")</f>
        <v>12.03.2012.
u roku 30 dana od pojedine narudžbe naručitelja</v>
      </c>
      <c r="H159" s="1" t="str">
        <f>CONCATENATE("GEOPROJEKT D.O.O., ZAGREB")</f>
        <v>GEOPROJEKT D.O.O., ZAGREB</v>
      </c>
      <c r="I159" s="2"/>
      <c r="J159" s="1"/>
      <c r="K159" s="2"/>
    </row>
    <row r="160" spans="1:11" ht="63" x14ac:dyDescent="0.25">
      <c r="A160" s="1" t="str">
        <f>"156/2012"</f>
        <v>156/2012</v>
      </c>
      <c r="B160" s="1" t="s">
        <v>14</v>
      </c>
      <c r="C160" s="1" t="s">
        <v>1537</v>
      </c>
      <c r="D160" s="1" t="str">
        <f>CONCATENATE("EV-942-012/2011",CHAR(10),"N-02-V-147021-051211 od 07.12.2011.")</f>
        <v>EV-942-012/2011
N-02-V-147021-051211 od 07.12.2011.</v>
      </c>
      <c r="E160" s="1" t="s">
        <v>15</v>
      </c>
      <c r="F160" s="1" t="str">
        <f>"1.267.010,25"</f>
        <v>1.267.010,25</v>
      </c>
      <c r="G160" s="1" t="str">
        <f>CONCATENATE("12.03.2012.",CHAR(10),"90 dana od dana uvođenja u posao")</f>
        <v>12.03.2012.
90 dana od dana uvođenja u posao</v>
      </c>
      <c r="H160" s="1" t="str">
        <f>CONCATENATE("BRAUCO D.O.O., ZAGREB",CHAR(10),"L.T.M. D.O.O., NOVAKI BISTRANSKI")</f>
        <v>BRAUCO D.O.O., ZAGREB
L.T.M. D.O.O., NOVAKI BISTRANSKI</v>
      </c>
      <c r="I160" s="1" t="s">
        <v>24</v>
      </c>
      <c r="J160" s="1" t="str">
        <f>CONCATENATE(SUBSTITUTE(SUBSTITUTE(SUBSTITUTE("1,583,762.82",".","-"),",","."),"-",","),CHAR(10),"konačno plaćeni iznos veći je od ugovorenog radi promjene stope PDV-a")</f>
        <v>1.583.762,82
konačno plaćeni iznos veći je od ugovorenog radi promjene stope PDV-a</v>
      </c>
      <c r="K160" s="2"/>
    </row>
    <row r="161" spans="1:11" ht="63" x14ac:dyDescent="0.25">
      <c r="A161" s="1" t="str">
        <f>"157/2012"</f>
        <v>157/2012</v>
      </c>
      <c r="B161" s="1" t="s">
        <v>11</v>
      </c>
      <c r="C161" s="1" t="s">
        <v>1538</v>
      </c>
      <c r="D161" s="1" t="str">
        <f>CONCATENATE("EM-1000-022/2011",CHAR(10),"N-32-M-100922-110112 od 12.01.2012.")</f>
        <v>EM-1000-022/2011
N-32-M-100922-110112 od 12.01.2012.</v>
      </c>
      <c r="E161" s="1" t="s">
        <v>12</v>
      </c>
      <c r="F161" s="1" t="str">
        <f>"12.941,70"</f>
        <v>12.941,70</v>
      </c>
      <c r="G161" s="1" t="str">
        <f>CONCATENATE("13.03.2012.",CHAR(10),"odmah po potpisu I.aneksa, a završiti u roku od 10 dana")</f>
        <v>13.03.2012.
odmah po potpisu I.aneksa, a završiti u roku od 10 dana</v>
      </c>
      <c r="H161" s="1" t="str">
        <f>CONCATENATE("TIM-COLOR D.O.O., ZAGREB")</f>
        <v>TIM-COLOR D.O.O., ZAGREB</v>
      </c>
      <c r="I161" s="1" t="s">
        <v>101</v>
      </c>
      <c r="J161" s="1" t="str">
        <f>CONCATENATE(SUBSTITUTE(SUBSTITUTE(SUBSTITUTE("16,177.13",".","-"),",","."),"-",","),CHAR(10),"konačno plaćeni iznos veći je od ugovorenog radi promjene stope PDV-a")</f>
        <v>16.177,13
konačno plaćeni iznos veći je od ugovorenog radi promjene stope PDV-a</v>
      </c>
      <c r="K161" s="2"/>
    </row>
    <row r="162" spans="1:11" ht="47.25" x14ac:dyDescent="0.25">
      <c r="A162" s="1" t="str">
        <f>"158/2012"</f>
        <v>158/2012</v>
      </c>
      <c r="B162" s="1" t="s">
        <v>14</v>
      </c>
      <c r="C162" s="1" t="s">
        <v>1539</v>
      </c>
      <c r="D162" s="1" t="str">
        <f>CONCATENATE("EM-975-012/2011",CHAR(10),"N-16-M-148889-151211 od 16.12.2011.")</f>
        <v>EM-975-012/2011
N-16-M-148889-151211 od 16.12.2011.</v>
      </c>
      <c r="E162" s="1" t="s">
        <v>15</v>
      </c>
      <c r="F162" s="1" t="str">
        <f>"18.000,00"</f>
        <v>18.000,00</v>
      </c>
      <c r="G162" s="1" t="str">
        <f>CONCATENATE("13.03.2012.",CHAR(10),"90 dana od dana obostranog potpisa Ugovora")</f>
        <v>13.03.2012.
90 dana od dana obostranog potpisa Ugovora</v>
      </c>
      <c r="H162" s="1" t="str">
        <f>CONCATENATE("TIM PROJEKT D.O.O., ZAGREB")</f>
        <v>TIM PROJEKT D.O.O., ZAGREB</v>
      </c>
      <c r="I162" s="2"/>
      <c r="J162" s="1"/>
      <c r="K162" s="2"/>
    </row>
    <row r="163" spans="1:11" ht="47.25" x14ac:dyDescent="0.25">
      <c r="A163" s="1" t="str">
        <f>"159/2012"</f>
        <v>159/2012</v>
      </c>
      <c r="B163" s="1" t="s">
        <v>14</v>
      </c>
      <c r="C163" s="1" t="s">
        <v>1540</v>
      </c>
      <c r="D163" s="1" t="str">
        <f>CONCATENATE("EV-818-012/2011",CHAR(10),"N-02-V-149110-161211 od 19.12.2011.")</f>
        <v>EV-818-012/2011
N-02-V-149110-161211 od 19.12.2011.</v>
      </c>
      <c r="E163" s="1" t="s">
        <v>15</v>
      </c>
      <c r="F163" s="1" t="str">
        <f>"330.656,50"</f>
        <v>330.656,50</v>
      </c>
      <c r="G163" s="1" t="str">
        <f>CONCATENATE("13.03.2012.",CHAR(10),"30 dana od dana uvođenja u posao")</f>
        <v>13.03.2012.
30 dana od dana uvođenja u posao</v>
      </c>
      <c r="H163" s="1" t="str">
        <f>CONCATENATE("GAJANT D.O.O., ZAGREB",CHAR(10),"GEO-PRIZMA D.O.O., ZAGREB")</f>
        <v>GAJANT D.O.O., ZAGREB
GEO-PRIZMA D.O.O., ZAGREB</v>
      </c>
      <c r="I163" s="2"/>
      <c r="J163" s="1"/>
      <c r="K163" s="2"/>
    </row>
    <row r="164" spans="1:11" ht="63" x14ac:dyDescent="0.25">
      <c r="A164" s="1" t="str">
        <f>"160/2012"</f>
        <v>160/2012</v>
      </c>
      <c r="B164" s="1" t="s">
        <v>14</v>
      </c>
      <c r="C164" s="1" t="s">
        <v>1541</v>
      </c>
      <c r="D164" s="1" t="str">
        <f>CONCATENATE("EM-774-009/2011",CHAR(10),"N-16-M-148620-141211 od 15.12.2011.")</f>
        <v>EM-774-009/2011
N-16-M-148620-141211 od 15.12.2011.</v>
      </c>
      <c r="E164" s="1" t="s">
        <v>15</v>
      </c>
      <c r="F164" s="1" t="str">
        <f>"349.063,00"</f>
        <v>349.063,00</v>
      </c>
      <c r="G164" s="1" t="str">
        <f>CONCATENATE("13.03.2012.",CHAR(10),"40 dana od dana uvođenja u posao")</f>
        <v>13.03.2012.
40 dana od dana uvođenja u posao</v>
      </c>
      <c r="H164" s="1" t="str">
        <f>CONCATENATE("EURAL D.O.O., SVETA NEDJELJA")</f>
        <v>EURAL D.O.O., SVETA NEDJELJA</v>
      </c>
      <c r="I164" s="1" t="s">
        <v>102</v>
      </c>
      <c r="J164" s="1" t="str">
        <f>CONCATENATE(SUBSTITUTE(SUBSTITUTE(SUBSTITUTE("435,632.87",".","-"),",","."),"-",","),CHAR(10),"konačno plaćeni iznos veći je od ugovorenog radi promjene stope PDV-a")</f>
        <v>435.632,87
konačno plaćeni iznos veći je od ugovorenog radi promjene stope PDV-a</v>
      </c>
      <c r="K164" s="2"/>
    </row>
    <row r="165" spans="1:11" ht="63" x14ac:dyDescent="0.25">
      <c r="A165" s="1" t="str">
        <f>"161/2012"</f>
        <v>161/2012</v>
      </c>
      <c r="B165" s="1" t="s">
        <v>14</v>
      </c>
      <c r="C165" s="1" t="s">
        <v>1542</v>
      </c>
      <c r="D165" s="1" t="str">
        <f>CONCATENATE("EV-717-012/2011",CHAR(10),"N-02-V-149575-191211 od 21.12.2011.")</f>
        <v>EV-717-012/2011
N-02-V-149575-191211 od 21.12.2011.</v>
      </c>
      <c r="E165" s="1" t="s">
        <v>15</v>
      </c>
      <c r="F165" s="1" t="str">
        <f>"3.179.689,91"</f>
        <v>3.179.689,91</v>
      </c>
      <c r="G165" s="1" t="str">
        <f>CONCATENATE("13.03.2012.",CHAR(10),"120 dana od dana uvođenja u posao")</f>
        <v>13.03.2012.
120 dana od dana uvođenja u posao</v>
      </c>
      <c r="H165" s="1" t="str">
        <f>CONCATENATE("TA-GRAD D.O.O., ZAGREB")</f>
        <v>TA-GRAD D.O.O., ZAGREB</v>
      </c>
      <c r="I165" s="1" t="s">
        <v>82</v>
      </c>
      <c r="J165" s="1" t="str">
        <f>CONCATENATE(SUBSTITUTE(SUBSTITUTE(SUBSTITUTE("3,972,743.71",".","-"),",","."),"-",","),CHAR(10),"konačno plaćeni iznos veći je od ugovorenog radi promjene stope PDV-a")</f>
        <v>3.972.743,71
konačno plaćeni iznos veći je od ugovorenog radi promjene stope PDV-a</v>
      </c>
      <c r="K165" s="2"/>
    </row>
    <row r="166" spans="1:11" ht="47.25" x14ac:dyDescent="0.25">
      <c r="A166" s="1" t="str">
        <f>"162/2012"</f>
        <v>162/2012</v>
      </c>
      <c r="B166" s="1" t="s">
        <v>14</v>
      </c>
      <c r="C166" s="1" t="s">
        <v>1543</v>
      </c>
      <c r="D166" s="1" t="str">
        <f>CONCATENATE("EV-720-012/2011",CHAR(10),"N-02-V-146486-011211 od 02.12.2011.")</f>
        <v>EV-720-012/2011
N-02-V-146486-011211 od 02.12.2011.</v>
      </c>
      <c r="E166" s="1" t="s">
        <v>15</v>
      </c>
      <c r="F166" s="1" t="str">
        <f>"1.959.879,65"</f>
        <v>1.959.879,65</v>
      </c>
      <c r="G166" s="1" t="str">
        <f>CONCATENATE("13.03.2012.",CHAR(10),"30 dana od dana uvođenja u posao")</f>
        <v>13.03.2012.
30 dana od dana uvođenja u posao</v>
      </c>
      <c r="H166" s="1" t="str">
        <f>CONCATENATE("GEODIST D.O.O., ZAGREB",CHAR(10),"GEORAD D.O.O., ZAGREB")</f>
        <v>GEODIST D.O.O., ZAGREB
GEORAD D.O.O., ZAGREB</v>
      </c>
      <c r="I166" s="2"/>
      <c r="J166" s="1"/>
      <c r="K166" s="2"/>
    </row>
    <row r="167" spans="1:11" ht="47.25" x14ac:dyDescent="0.25">
      <c r="A167" s="1" t="str">
        <f>"163/2012"</f>
        <v>163/2012</v>
      </c>
      <c r="B167" s="1" t="s">
        <v>14</v>
      </c>
      <c r="C167" s="1" t="s">
        <v>1544</v>
      </c>
      <c r="D167" s="1" t="str">
        <f>CONCATENATE("EM-935-009/2011",CHAR(10),"N-16-M-149109-161211 od 19.12.2011.")</f>
        <v>EM-935-009/2011
N-16-M-149109-161211 od 19.12.2011.</v>
      </c>
      <c r="E167" s="1" t="s">
        <v>15</v>
      </c>
      <c r="F167" s="1" t="str">
        <f>"147.088,00"</f>
        <v>147.088,00</v>
      </c>
      <c r="G167" s="1" t="str">
        <f>CONCATENATE("14.03.2012.",CHAR(10),"30 dana")</f>
        <v>14.03.2012.
30 dana</v>
      </c>
      <c r="H167" s="1" t="str">
        <f>CONCATENATE("KONČAR - UGOSTITELJSKA OPREMA D.O.O., ZAGREB")</f>
        <v>KONČAR - UGOSTITELJSKA OPREMA D.O.O., ZAGREB</v>
      </c>
      <c r="I167" s="1" t="s">
        <v>103</v>
      </c>
      <c r="J167" s="1" t="str">
        <f>SUBSTITUTE(SUBSTITUTE(SUBSTITUTE("168,341.25",".","-"),",","."),"-",",")</f>
        <v>168.341,25</v>
      </c>
      <c r="K167" s="2"/>
    </row>
    <row r="168" spans="1:11" ht="63" x14ac:dyDescent="0.25">
      <c r="A168" s="1" t="str">
        <f>"164/2012"</f>
        <v>164/2012</v>
      </c>
      <c r="B168" s="1" t="s">
        <v>14</v>
      </c>
      <c r="C168" s="1" t="s">
        <v>1545</v>
      </c>
      <c r="D168" s="1" t="str">
        <f>CONCATENATE("EM-777-012/2011",CHAR(10),"N-16-M-151177-281211 od 29.12.2011.")</f>
        <v>EM-777-012/2011
N-16-M-151177-281211 od 29.12.2011.</v>
      </c>
      <c r="E168" s="1" t="s">
        <v>15</v>
      </c>
      <c r="F168" s="1" t="str">
        <f>"167.500,00"</f>
        <v>167.500,00</v>
      </c>
      <c r="G168" s="1" t="str">
        <f>CONCATENATE("14.03.2012.",CHAR(10),"75 dana od dana obostranog potpisa Ugovora")</f>
        <v>14.03.2012.
75 dana od dana obostranog potpisa Ugovora</v>
      </c>
      <c r="H168" s="1" t="str">
        <f>CONCATENATE("AKING D.O.O., ZAGREB",CHAR(10),"IPT-INŽENJERING D.O.O., ZAGREB",CHAR(10),"TT INŽENJERING D.O.O., ZABOK",CHAR(10),"SONUS D.O.O., ZAGREB")</f>
        <v>AKING D.O.O., ZAGREB
IPT-INŽENJERING D.O.O., ZAGREB
TT INŽENJERING D.O.O., ZABOK
SONUS D.O.O., ZAGREB</v>
      </c>
      <c r="I168" s="2"/>
      <c r="J168" s="1"/>
      <c r="K168" s="2"/>
    </row>
    <row r="169" spans="1:11" ht="47.25" x14ac:dyDescent="0.25">
      <c r="A169" s="1" t="str">
        <f>"165/2012"</f>
        <v>165/2012</v>
      </c>
      <c r="B169" s="1" t="s">
        <v>14</v>
      </c>
      <c r="C169" s="1" t="s">
        <v>1546</v>
      </c>
      <c r="D169" s="1" t="str">
        <f>CONCATENATE("EM-973-012/2011",CHAR(10),"N-16-M-140090-161211 od 19.12.2011.")</f>
        <v>EM-973-012/2011
N-16-M-140090-161211 od 19.12.2011.</v>
      </c>
      <c r="E169" s="1" t="s">
        <v>15</v>
      </c>
      <c r="F169" s="1" t="str">
        <f>"36.200,00"</f>
        <v>36.200,00</v>
      </c>
      <c r="G169" s="1" t="str">
        <f>CONCATENATE("14.03.2012.",CHAR(10),"90 dana od dana obostranog potpisa Ugovora")</f>
        <v>14.03.2012.
90 dana od dana obostranog potpisa Ugovora</v>
      </c>
      <c r="H169" s="1" t="str">
        <f>CONCATENATE("ELBIR D.O.O., ZAGREB")</f>
        <v>ELBIR D.O.O., ZAGREB</v>
      </c>
      <c r="I169" s="2"/>
      <c r="J169" s="1"/>
      <c r="K169" s="2"/>
    </row>
    <row r="170" spans="1:11" ht="47.25" x14ac:dyDescent="0.25">
      <c r="A170" s="1" t="str">
        <f>"166/2012"</f>
        <v>166/2012</v>
      </c>
      <c r="B170" s="1" t="s">
        <v>14</v>
      </c>
      <c r="C170" s="1" t="s">
        <v>1547</v>
      </c>
      <c r="D170" s="1" t="str">
        <f>CONCATENATE("EV-729-009/2011",CHAR(10),"N-02-V-148932-151211 od 16.12.2011.")</f>
        <v>EV-729-009/2011
N-02-V-148932-151211 od 16.12.2011.</v>
      </c>
      <c r="E170" s="1" t="s">
        <v>15</v>
      </c>
      <c r="F170" s="1" t="str">
        <f>"148.016,16"</f>
        <v>148.016,16</v>
      </c>
      <c r="G170" s="1" t="str">
        <f>CONCATENATE("14.03.2012.",CHAR(10),"godina dana od dana obostranog potpisa Ugovora")</f>
        <v>14.03.2012.
godina dana od dana obostranog potpisa Ugovora</v>
      </c>
      <c r="H170" s="1" t="str">
        <f>CONCATENATE("SUNCE OSIGURANJE D.D., ZAGREB")</f>
        <v>SUNCE OSIGURANJE D.D., ZAGREB</v>
      </c>
      <c r="I170" s="1" t="s">
        <v>104</v>
      </c>
      <c r="J170" s="1" t="str">
        <f>SUBSTITUTE(SUBSTITUTE(SUBSTITUTE("148,016.16",".","-"),",","."),"-",",")</f>
        <v>148.016,16</v>
      </c>
      <c r="K170" s="2"/>
    </row>
    <row r="171" spans="1:11" ht="78.75" x14ac:dyDescent="0.25">
      <c r="A171" s="1" t="str">
        <f>"167/2012"</f>
        <v>167/2012</v>
      </c>
      <c r="B171" s="1" t="s">
        <v>26</v>
      </c>
      <c r="C171" s="1" t="s">
        <v>105</v>
      </c>
      <c r="D171" s="2"/>
      <c r="E171" s="1" t="s">
        <v>97</v>
      </c>
      <c r="F171" s="1" t="str">
        <f>"1.305.207,84"</f>
        <v>1.305.207,84</v>
      </c>
      <c r="G171" s="1" t="str">
        <f>CONCATENATE("14.03.2012.",CHAR(10),"Ugovor se zaključuje na vrijeme do 31.12.2012.")</f>
        <v>14.03.2012.
Ugovor se zaključuje na vrijeme do 31.12.2012.</v>
      </c>
      <c r="H171" s="1" t="str">
        <f>CONCATENATE("LUKOIL CROATIA D.O.O., ZAGREB")</f>
        <v>LUKOIL CROATIA D.O.O., ZAGREB</v>
      </c>
      <c r="I171" s="1" t="s">
        <v>106</v>
      </c>
      <c r="J171" s="1" t="str">
        <f>CONCATENATE(SUBSTITUTE(SUBSTITUTE(SUBSTITUTE("1,631,509.80",".","-"),",","."),"-",","),CHAR(10),"konačno plaćeni iznos veći je od ugovorenog radi promjene stope PDV-a")</f>
        <v>1.631.509,80
konačno plaćeni iznos veći je od ugovorenog radi promjene stope PDV-a</v>
      </c>
      <c r="K171" s="2"/>
    </row>
    <row r="172" spans="1:11" ht="78.75" x14ac:dyDescent="0.25">
      <c r="A172" s="1" t="str">
        <f>"168/2012"</f>
        <v>168/2012</v>
      </c>
      <c r="B172" s="1" t="s">
        <v>26</v>
      </c>
      <c r="C172" s="1" t="s">
        <v>107</v>
      </c>
      <c r="D172" s="2"/>
      <c r="E172" s="1" t="s">
        <v>97</v>
      </c>
      <c r="F172" s="1" t="str">
        <f>"363.485,12"</f>
        <v>363.485,12</v>
      </c>
      <c r="G172" s="1" t="str">
        <f>CONCATENATE("14.03.2012.",CHAR(10),"30.06.2012")</f>
        <v>14.03.2012.
30.06.2012</v>
      </c>
      <c r="H172" s="1" t="str">
        <f>CONCATENATE("LUKOIL CROATIA D.O.O., ZAGREB")</f>
        <v>LUKOIL CROATIA D.O.O., ZAGREB</v>
      </c>
      <c r="I172" s="1" t="s">
        <v>108</v>
      </c>
      <c r="J172" s="1" t="str">
        <f>SUBSTITUTE(SUBSTITUTE(SUBSTITUTE("186,178.14",".","-"),",","."),"-",",")</f>
        <v>186.178,14</v>
      </c>
      <c r="K172" s="2"/>
    </row>
    <row r="173" spans="1:11" ht="78.75" x14ac:dyDescent="0.25">
      <c r="A173" s="1" t="str">
        <f>"169/2012"</f>
        <v>169/2012</v>
      </c>
      <c r="B173" s="1" t="s">
        <v>56</v>
      </c>
      <c r="C173" s="1" t="s">
        <v>1548</v>
      </c>
      <c r="D173" s="1" t="str">
        <f>"EM-333-005/2010"</f>
        <v>EM-333-005/2010</v>
      </c>
      <c r="E173" s="2"/>
      <c r="F173" s="1" t="str">
        <f>"0,00"</f>
        <v>0,00</v>
      </c>
      <c r="G173" s="1" t="str">
        <f>"14.03.2012."</f>
        <v>14.03.2012.</v>
      </c>
      <c r="H173" s="1" t="str">
        <f>CONCATENATE("JURCON PROJEKT D.O.O., ZAGREB")</f>
        <v>JURCON PROJEKT D.O.O., ZAGREB</v>
      </c>
      <c r="I173" s="2"/>
      <c r="J173" s="1"/>
      <c r="K173" s="2"/>
    </row>
    <row r="174" spans="1:11" ht="63" x14ac:dyDescent="0.25">
      <c r="A174" s="1" t="str">
        <f>"170/2012"</f>
        <v>170/2012</v>
      </c>
      <c r="B174" s="1" t="s">
        <v>14</v>
      </c>
      <c r="C174" s="1" t="s">
        <v>1549</v>
      </c>
      <c r="D174" s="1" t="str">
        <f>CONCATENATE("EV-950-012/2011",CHAR(10),"N-02-V-146679-021211 od 05.12.2011.")</f>
        <v>EV-950-012/2011
N-02-V-146679-021211 od 05.12.2011.</v>
      </c>
      <c r="E174" s="1" t="s">
        <v>15</v>
      </c>
      <c r="F174" s="1" t="str">
        <f>"1.125.350,00"</f>
        <v>1.125.350,00</v>
      </c>
      <c r="G174" s="1" t="str">
        <f>CONCATENATE("14.03.2012.",CHAR(10),"120 dana od dana obostranog potpisa Ugovora")</f>
        <v>14.03.2012.
120 dana od dana obostranog potpisa Ugovora</v>
      </c>
      <c r="H174" s="1" t="str">
        <f>CONCATENATE("GEOTEHNIČKI STUDIO D.O.O., ZAGREB",CHAR(10),"RIJEKAPROJEKT-GEOTEHNIČKO ISTRAŽIVANJE D.O.O., RIJEKA")</f>
        <v>GEOTEHNIČKI STUDIO D.O.O., ZAGREB
RIJEKAPROJEKT-GEOTEHNIČKO ISTRAŽIVANJE D.O.O., RIJEKA</v>
      </c>
      <c r="I174" s="1" t="s">
        <v>109</v>
      </c>
      <c r="J174" s="1" t="str">
        <f>CONCATENATE(SUBSTITUTE(SUBSTITUTE(SUBSTITUTE("1,406,687.50",".","-"),",","."),"-",","),CHAR(10),"konačno plaćeni iznos veći je od ugovorenog radi promjene stope PDV-a")</f>
        <v>1.406.687,50
konačno plaćeni iznos veći je od ugovorenog radi promjene stope PDV-a</v>
      </c>
      <c r="K174" s="2"/>
    </row>
    <row r="175" spans="1:11" ht="63" x14ac:dyDescent="0.25">
      <c r="A175" s="1" t="str">
        <f>"171/2012"</f>
        <v>171/2012</v>
      </c>
      <c r="B175" s="1" t="s">
        <v>14</v>
      </c>
      <c r="C175" s="1" t="s">
        <v>1550</v>
      </c>
      <c r="D175" s="1" t="str">
        <f>CONCATENATE("EV-747-012/2011",CHAR(10),"N-02-V-149559-191211 od 20.12.2011.")</f>
        <v>EV-747-012/2011
N-02-V-149559-191211 od 20.12.2011.</v>
      </c>
      <c r="E175" s="1" t="s">
        <v>15</v>
      </c>
      <c r="F175" s="1" t="str">
        <f>"398.446,50"</f>
        <v>398.446,50</v>
      </c>
      <c r="G175" s="1" t="str">
        <f>CONCATENATE("14.03.2012.",CHAR(10),"sukcesivno prema nalozima, u roku 30 dana od primitka naloga")</f>
        <v>14.03.2012.
sukcesivno prema nalozima, u roku 30 dana od primitka naloga</v>
      </c>
      <c r="H175" s="1" t="str">
        <f>CONCATENATE("MONTEL D.O.O., ZAGREB")</f>
        <v>MONTEL D.O.O., ZAGREB</v>
      </c>
      <c r="I175" s="1" t="s">
        <v>110</v>
      </c>
      <c r="J175" s="1" t="str">
        <f>CONCATENATE(SUBSTITUTE(SUBSTITUTE(SUBSTITUTE("498,055.23",".","-"),",","."),"-",","),CHAR(10),"konačno plaćeni iznos veći je od ugovorenog radi promjene stope PDV-a")</f>
        <v>498.055,23
konačno plaćeni iznos veći je od ugovorenog radi promjene stope PDV-a</v>
      </c>
      <c r="K175" s="2"/>
    </row>
    <row r="176" spans="1:11" ht="63" x14ac:dyDescent="0.25">
      <c r="A176" s="1" t="str">
        <f>"172/2012"</f>
        <v>172/2012</v>
      </c>
      <c r="B176" s="1" t="s">
        <v>14</v>
      </c>
      <c r="C176" s="1" t="s">
        <v>1551</v>
      </c>
      <c r="D176" s="1" t="str">
        <f>CONCATENATE("EM-752-012/2011",CHAR(10),"N-16-M-147984-101211 od 13.12.2011.")</f>
        <v>EM-752-012/2011
N-16-M-147984-101211 od 13.12.2011.</v>
      </c>
      <c r="E176" s="1" t="s">
        <v>15</v>
      </c>
      <c r="F176" s="1" t="str">
        <f>"133.246,00"</f>
        <v>133.246,00</v>
      </c>
      <c r="G176" s="1" t="str">
        <f>CONCATENATE("16.03.2012.",CHAR(10),"30 dana računajući od dana uvođenja u posao")</f>
        <v>16.03.2012.
30 dana računajući od dana uvođenja u posao</v>
      </c>
      <c r="H176" s="1" t="str">
        <f>CONCATENATE("MONTEL D.O.O., ZAGREB")</f>
        <v>MONTEL D.O.O., ZAGREB</v>
      </c>
      <c r="I176" s="1" t="s">
        <v>111</v>
      </c>
      <c r="J176" s="1" t="str">
        <f>CONCATENATE(SUBSTITUTE(SUBSTITUTE(SUBSTITUTE("166,557.38",".","-"),",","."),"-",","),CHAR(10),"konačno plaćeni iznos veći je od ugovorenog radi promjene stope PDV-a")</f>
        <v>166.557,38
konačno plaćeni iznos veći je od ugovorenog radi promjene stope PDV-a</v>
      </c>
      <c r="K176" s="2"/>
    </row>
    <row r="177" spans="1:11" ht="47.25" x14ac:dyDescent="0.25">
      <c r="A177" s="1" t="str">
        <f>"173/2012"</f>
        <v>173/2012</v>
      </c>
      <c r="B177" s="1" t="s">
        <v>56</v>
      </c>
      <c r="C177" s="1" t="s">
        <v>1552</v>
      </c>
      <c r="D177" s="1" t="str">
        <f>"EM-407-009/2011"</f>
        <v>EM-407-009/2011</v>
      </c>
      <c r="E177" s="2"/>
      <c r="F177" s="1" t="str">
        <f>"0,00"</f>
        <v>0,00</v>
      </c>
      <c r="G177" s="1" t="str">
        <f>"16.03.2012."</f>
        <v>16.03.2012.</v>
      </c>
      <c r="H177" s="1" t="str">
        <f>CONCATENATE("GRADITELJ SVRATIŠTA D.O.O., ZAGREB")</f>
        <v>GRADITELJ SVRATIŠTA D.O.O., ZAGREB</v>
      </c>
      <c r="I177" s="2"/>
      <c r="J177" s="1"/>
      <c r="K177" s="2"/>
    </row>
    <row r="178" spans="1:11" ht="47.25" x14ac:dyDescent="0.25">
      <c r="A178" s="1" t="str">
        <f>"174/2012"</f>
        <v>174/2012</v>
      </c>
      <c r="B178" s="1" t="s">
        <v>14</v>
      </c>
      <c r="C178" s="1" t="s">
        <v>1553</v>
      </c>
      <c r="D178" s="1" t="str">
        <f>CONCATENATE("EM-586-012/2011",CHAR(10),"N-16-M-148360-131211 od 14.12.2011.")</f>
        <v>EM-586-012/2011
N-16-M-148360-131211 od 14.12.2011.</v>
      </c>
      <c r="E178" s="1" t="s">
        <v>15</v>
      </c>
      <c r="F178" s="1" t="str">
        <f>"36.300,00"</f>
        <v>36.300,00</v>
      </c>
      <c r="G178" s="1" t="str">
        <f>CONCATENATE("19.03.2012.",CHAR(10),"45 dana, računajući od dana obostranog potpisa Ugovora")</f>
        <v>19.03.2012.
45 dana, računajući od dana obostranog potpisa Ugovora</v>
      </c>
      <c r="H178" s="1" t="str">
        <f>CONCATENATE("PGT ŠKUNCA D.O.O., ZAGREB-SUSEDGRAD",CHAR(10),"GEORASTER D.O.O., ZAGREB")</f>
        <v>PGT ŠKUNCA D.O.O., ZAGREB-SUSEDGRAD
GEORASTER D.O.O., ZAGREB</v>
      </c>
      <c r="I178" s="2"/>
      <c r="J178" s="1"/>
      <c r="K178" s="2"/>
    </row>
    <row r="179" spans="1:11" ht="47.25" x14ac:dyDescent="0.25">
      <c r="A179" s="1" t="str">
        <f>"175/2012"</f>
        <v>175/2012</v>
      </c>
      <c r="B179" s="1" t="s">
        <v>14</v>
      </c>
      <c r="C179" s="1" t="s">
        <v>1554</v>
      </c>
      <c r="D179" s="1" t="str">
        <f>CONCATENATE("EV-990-012/2011",CHAR(10),"N-02-V-150529-231211 od 27.12.2011.")</f>
        <v>EV-990-012/2011
N-02-V-150529-231211 od 27.12.2011.</v>
      </c>
      <c r="E179" s="1" t="s">
        <v>15</v>
      </c>
      <c r="F179" s="1" t="str">
        <f>"1.191.157,75"</f>
        <v>1.191.157,75</v>
      </c>
      <c r="G179" s="1" t="str">
        <f>CONCATENATE("19.03.2012.",CHAR(10),"90 dana od dana uvođenja u posao")</f>
        <v>19.03.2012.
90 dana od dana uvođenja u posao</v>
      </c>
      <c r="H179" s="1" t="str">
        <f>CONCATENATE("M. SOLDO D.O.O., ZAGREB",CHAR(10),"GEOGIS D.O.O., ZAGREB")</f>
        <v>M. SOLDO D.O.O., ZAGREB
GEOGIS D.O.O., ZAGREB</v>
      </c>
      <c r="I179" s="2"/>
      <c r="J179" s="1"/>
      <c r="K179" s="2"/>
    </row>
    <row r="180" spans="1:11" ht="78.75" x14ac:dyDescent="0.25">
      <c r="A180" s="1" t="str">
        <f>"176/2012"</f>
        <v>176/2012</v>
      </c>
      <c r="B180" s="1" t="s">
        <v>14</v>
      </c>
      <c r="C180" s="1" t="s">
        <v>1555</v>
      </c>
      <c r="D180" s="1" t="str">
        <f>CONCATENATE("EV-619-012/2011",CHAR(10),"N-02-V-146248-081111 od 09.11.2011.")</f>
        <v>EV-619-012/2011
N-02-V-146248-081111 od 09.11.2011.</v>
      </c>
      <c r="E180" s="1" t="s">
        <v>15</v>
      </c>
      <c r="F180" s="1" t="str">
        <f>"18.482.415,89"</f>
        <v>18.482.415,89</v>
      </c>
      <c r="G180" s="1" t="str">
        <f>CONCATENATE("20.03.2012.",CHAR(10),"6 mjeseci od dana uvođenja u posao")</f>
        <v>20.03.2012.
6 mjeseci od dana uvođenja u posao</v>
      </c>
      <c r="H180" s="1" t="str">
        <f>CONCATENATE("MEŠIĆ COM D.O.O., ZAGREB",CHAR(10),"GIP PIONIR D.O.O., ZAGREB",CHAR(10),"TEMPO-INŽENJERING D.O.O., ZAGREB",CHAR(10),"MJERNIK LIMA D.O.O., ZAGREB")</f>
        <v>MEŠIĆ COM D.O.O., ZAGREB
GIP PIONIR D.O.O., ZAGREB
TEMPO-INŽENJERING D.O.O., ZAGREB
MJERNIK LIMA D.O.O., ZAGREB</v>
      </c>
      <c r="I180" s="2"/>
      <c r="J180" s="1"/>
      <c r="K180" s="2"/>
    </row>
    <row r="181" spans="1:11" ht="63" x14ac:dyDescent="0.25">
      <c r="A181" s="1" t="str">
        <f>"177/2012"</f>
        <v>177/2012</v>
      </c>
      <c r="B181" s="1" t="s">
        <v>14</v>
      </c>
      <c r="C181" s="1" t="s">
        <v>1556</v>
      </c>
      <c r="D181" s="1" t="str">
        <f>CONCATENATE("EV-592-012/2011",CHAR(10),"N-02-V-145872-281111 od 29.11.2011.")</f>
        <v>EV-592-012/2011
N-02-V-145872-281111 od 29.11.2011.</v>
      </c>
      <c r="E181" s="1" t="s">
        <v>15</v>
      </c>
      <c r="F181" s="1" t="str">
        <f>"13.017.489,93"</f>
        <v>13.017.489,93</v>
      </c>
      <c r="G181" s="1" t="str">
        <f>CONCATENATE("20.03.2012.",CHAR(10),"240 dana od dana uvođenja u posao")</f>
        <v>20.03.2012.
240 dana od dana uvođenja u posao</v>
      </c>
      <c r="H181" s="1" t="str">
        <f>CONCATENATE("NEXE GRADNJA D.O.O., NAŠICE")</f>
        <v>NEXE GRADNJA D.O.O., NAŠICE</v>
      </c>
      <c r="I181" s="1" t="s">
        <v>112</v>
      </c>
      <c r="J181" s="1" t="str">
        <f>CONCATENATE(SUBSTITUTE(SUBSTITUTE(SUBSTITUTE("16,259,337.77",".","-"),",","."),"-",","),CHAR(10),"konacno plaćeni iznos veći je od ugovorenog radi promjene stope PDV-a")</f>
        <v>16.259.337,77
konacno plaćeni iznos veći je od ugovorenog radi promjene stope PDV-a</v>
      </c>
      <c r="K181" s="2"/>
    </row>
    <row r="182" spans="1:11" ht="78.75" x14ac:dyDescent="0.25">
      <c r="A182" s="1" t="str">
        <f>"178/2012"</f>
        <v>178/2012</v>
      </c>
      <c r="B182" s="1" t="s">
        <v>26</v>
      </c>
      <c r="C182" s="1" t="s">
        <v>113</v>
      </c>
      <c r="D182" s="1" t="str">
        <f>"EV-375-012/2011"</f>
        <v>EV-375-012/2011</v>
      </c>
      <c r="E182" s="1" t="s">
        <v>97</v>
      </c>
      <c r="F182" s="1" t="str">
        <f>"7.324.576,90"</f>
        <v>7.324.576,90</v>
      </c>
      <c r="G182" s="1" t="str">
        <f>CONCATENATE("20.03.2012.",CHAR(10),"tijekom 2012 godine")</f>
        <v>20.03.2012.
tijekom 2012 godine</v>
      </c>
      <c r="H182" s="1" t="str">
        <f>CONCATENATE("VODOPRIVREDA ZAGREB D.D., ZAGREB",CHAR(10),"POLJO-PROM TRGOVINA I USLUGE, VL. ZLATKO KRIŽANIĆ, ZAGREB")</f>
        <v>VODOPRIVREDA ZAGREB D.D., ZAGREB
POLJO-PROM TRGOVINA I USLUGE, VL. ZLATKO KRIŽANIĆ, ZAGREB</v>
      </c>
      <c r="I182" s="2"/>
      <c r="J182" s="1"/>
      <c r="K182" s="2"/>
    </row>
    <row r="183" spans="1:11" ht="63" x14ac:dyDescent="0.25">
      <c r="A183" s="1" t="str">
        <f>"179/2012"</f>
        <v>179/2012</v>
      </c>
      <c r="B183" s="1" t="s">
        <v>14</v>
      </c>
      <c r="C183" s="1" t="s">
        <v>1557</v>
      </c>
      <c r="D183" s="1" t="str">
        <f>CONCATENATE("EM-754-012/2011",CHAR(10),"N-16-M-149659-201211 od 21.12.2011.")</f>
        <v>EM-754-012/2011
N-16-M-149659-201211 od 21.12.2011.</v>
      </c>
      <c r="E183" s="1" t="s">
        <v>15</v>
      </c>
      <c r="F183" s="1" t="str">
        <f>"38.500,00"</f>
        <v>38.500,00</v>
      </c>
      <c r="G183" s="1" t="str">
        <f>CONCATENATE("20.03.2012.",CHAR(10),"60 dana od dana obostranog potpisa Ugovora")</f>
        <v>20.03.2012.
60 dana od dana obostranog potpisa Ugovora</v>
      </c>
      <c r="H183" s="1" t="str">
        <f>CONCATENATE("KOPIMA D.O.O, ZAGREB")</f>
        <v>KOPIMA D.O.O, ZAGREB</v>
      </c>
      <c r="I183" s="1" t="s">
        <v>39</v>
      </c>
      <c r="J183" s="1" t="str">
        <f>CONCATENATE(SUBSTITUTE(SUBSTITUTE(SUBSTITUTE("48,125.00",".","-"),",","."),"-",","),CHAR(10),"konačno plaćeni iznos veći je od ugovorenog radi promjene stope PDV-a")</f>
        <v>48.125,00
konačno plaćeni iznos veći je od ugovorenog radi promjene stope PDV-a</v>
      </c>
      <c r="K183" s="2"/>
    </row>
    <row r="184" spans="1:11" ht="47.25" x14ac:dyDescent="0.25">
      <c r="A184" s="1" t="str">
        <f>"180/2012"</f>
        <v>180/2012</v>
      </c>
      <c r="B184" s="1" t="s">
        <v>26</v>
      </c>
      <c r="C184" s="1" t="s">
        <v>114</v>
      </c>
      <c r="D184" s="2"/>
      <c r="E184" s="1" t="s">
        <v>27</v>
      </c>
      <c r="F184" s="1" t="str">
        <f>"12.330.449,99"</f>
        <v>12.330.449,99</v>
      </c>
      <c r="G184" s="1" t="str">
        <f>CONCATENATE("21.03.2012.",CHAR(10),"30.06.2012")</f>
        <v>21.03.2012.
30.06.2012</v>
      </c>
      <c r="H184" s="1" t="str">
        <f>CONCATENATE("LUKOIL CROATIA D.O.O., ZAGREB")</f>
        <v>LUKOIL CROATIA D.O.O., ZAGREB</v>
      </c>
      <c r="I184" s="1" t="s">
        <v>110</v>
      </c>
      <c r="J184" s="1" t="str">
        <f>SUBSTITUTE(SUBSTITUTE(SUBSTITUTE("11,533,373.09",".","-"),",","."),"-",",")</f>
        <v>11.533.373,09</v>
      </c>
      <c r="K184" s="2"/>
    </row>
    <row r="185" spans="1:11" ht="47.25" x14ac:dyDescent="0.25">
      <c r="A185" s="1" t="str">
        <f>"181/2012"</f>
        <v>181/2012</v>
      </c>
      <c r="B185" s="1" t="s">
        <v>14</v>
      </c>
      <c r="C185" s="1" t="s">
        <v>1558</v>
      </c>
      <c r="D185" s="1" t="str">
        <f>CONCATENATE("EM-983-012/2011",CHAR(10),"N-16-M-151646-291211 od 30.12.2011.")</f>
        <v>EM-983-012/2011
N-16-M-151646-291211 od 30.12.2011.</v>
      </c>
      <c r="E185" s="1" t="s">
        <v>15</v>
      </c>
      <c r="F185" s="1" t="str">
        <f>"38.800,00"</f>
        <v>38.800,00</v>
      </c>
      <c r="G185" s="1" t="str">
        <f>CONCATENATE("21.03.2012.",CHAR(10),"60 dana")</f>
        <v>21.03.2012.
60 dana</v>
      </c>
      <c r="H185" s="1" t="str">
        <f>CONCATENATE("ELBIR D.O.O., ZAGREB")</f>
        <v>ELBIR D.O.O., ZAGREB</v>
      </c>
      <c r="I185" s="1" t="s">
        <v>115</v>
      </c>
      <c r="J185" s="1" t="str">
        <f>SUBSTITUTE(SUBSTITUTE(SUBSTITUTE("46,075.00",".","-"),",","."),"-",",")</f>
        <v>46.075,00</v>
      </c>
      <c r="K185" s="2"/>
    </row>
    <row r="186" spans="1:11" ht="63" x14ac:dyDescent="0.25">
      <c r="A186" s="1" t="str">
        <f>"182/2012"</f>
        <v>182/2012</v>
      </c>
      <c r="B186" s="1" t="s">
        <v>14</v>
      </c>
      <c r="C186" s="1" t="s">
        <v>1559</v>
      </c>
      <c r="D186" s="1" t="str">
        <f>CONCATENATE("EM-742-009/2011",CHAR(10),"N-16-M-144572-211111 od 22.11.2011.")</f>
        <v>EM-742-009/2011
N-16-M-144572-211111 od 22.11.2011.</v>
      </c>
      <c r="E186" s="1" t="s">
        <v>15</v>
      </c>
      <c r="F186" s="1" t="str">
        <f>"89.348,00"</f>
        <v>89.348,00</v>
      </c>
      <c r="G186" s="1" t="str">
        <f>CONCATENATE("22.03.2012.",CHAR(10),"60 dana, računajući od dana uvođenja u posao")</f>
        <v>22.03.2012.
60 dana, računajući od dana uvođenja u posao</v>
      </c>
      <c r="H186" s="1" t="str">
        <f>CONCATENATE("ZI LIGHTING D.O.O., RIJEKA")</f>
        <v>ZI LIGHTING D.O.O., RIJEKA</v>
      </c>
      <c r="I186" s="1" t="s">
        <v>116</v>
      </c>
      <c r="J186" s="1" t="str">
        <f>CONCATENATE(SUBSTITUTE(SUBSTITUTE(SUBSTITUTE("111,685.00",".","-"),",","."),"-",","),CHAR(10),"konačno plaćeni iznos veći je od ugovorenog radi promjene stope PDV-a")</f>
        <v>111.685,00
konačno plaćeni iznos veći je od ugovorenog radi promjene stope PDV-a</v>
      </c>
      <c r="K186" s="2"/>
    </row>
    <row r="187" spans="1:11" ht="63" x14ac:dyDescent="0.25">
      <c r="A187" s="1" t="str">
        <f>"183/2012"</f>
        <v>183/2012</v>
      </c>
      <c r="B187" s="1" t="s">
        <v>14</v>
      </c>
      <c r="C187" s="1" t="s">
        <v>1560</v>
      </c>
      <c r="D187" s="1" t="str">
        <f>CONCATENATE("EV-258-012/2011",CHAR(10),"N-02-V-123771-070611 od 08.06.2011.")</f>
        <v>EV-258-012/2011
N-02-V-123771-070611 od 08.06.2011.</v>
      </c>
      <c r="E187" s="1" t="s">
        <v>15</v>
      </c>
      <c r="F187" s="1" t="str">
        <f>"968.883,52"</f>
        <v>968.883,52</v>
      </c>
      <c r="G187" s="1" t="str">
        <f>CONCATENATE("22.03.2012.",CHAR(10),"210 dana")</f>
        <v>22.03.2012.
210 dana</v>
      </c>
      <c r="H187" s="1" t="str">
        <f>CONCATENATE("CARIN D.O.O., ZAGREB",CHAR(10),"RE-DIZAJN OBRT ZA RESTAURIRANJE I DIZAJN, GORDANA GRIM-HUNDIĆ, ZAGREB")</f>
        <v>CARIN D.O.O., ZAGREB
RE-DIZAJN OBRT ZA RESTAURIRANJE I DIZAJN, GORDANA GRIM-HUNDIĆ, ZAGREB</v>
      </c>
      <c r="I187" s="1" t="s">
        <v>117</v>
      </c>
      <c r="J187" s="1" t="str">
        <f>CONCATENATE(SUBSTITUTE(SUBSTITUTE(SUBSTITUTE("1,202,839.60",".","-"),",","."),"-",","),CHAR(10),"konačno plaćeni iznos veći je od ugovorenog radi promjene stope PDV-a")</f>
        <v>1.202.839,60
konačno plaćeni iznos veći je od ugovorenog radi promjene stope PDV-a</v>
      </c>
      <c r="K187" s="2"/>
    </row>
    <row r="188" spans="1:11" ht="78.75" x14ac:dyDescent="0.25">
      <c r="A188" s="1" t="str">
        <f>"184/2012"</f>
        <v>184/2012</v>
      </c>
      <c r="B188" s="1" t="s">
        <v>26</v>
      </c>
      <c r="C188" s="1" t="s">
        <v>118</v>
      </c>
      <c r="D188" s="2"/>
      <c r="E188" s="1" t="s">
        <v>97</v>
      </c>
      <c r="F188" s="1" t="str">
        <f>"2.265.929,50"</f>
        <v>2.265.929,50</v>
      </c>
      <c r="G188" s="1" t="str">
        <f>CONCATENATE("22.03.2012.",CHAR(10),"31.12.2012")</f>
        <v>22.03.2012.
31.12.2012</v>
      </c>
      <c r="H188" s="1" t="str">
        <f>CONCATENATE("BIRODOM D.O.O., LUČKO",CHAR(10),"TIP-ZAGREB D.O.O., ZAGREB",CHAR(10),"TIMI D.O.O., ZAGREB",CHAR(10),"ZVIBOR D.O.O., ZAGREB")</f>
        <v>BIRODOM D.O.O., LUČKO
TIP-ZAGREB D.O.O., ZAGREB
TIMI D.O.O., ZAGREB
ZVIBOR D.O.O., ZAGREB</v>
      </c>
      <c r="I188" s="1" t="s">
        <v>119</v>
      </c>
      <c r="J188" s="1" t="str">
        <f>CONCATENATE(SUBSTITUTE(SUBSTITUTE(SUBSTITUTE("2,829,117.56",".","-"),",","."),"-",","),CHAR(10),"konačno plaćeni iznos veći je od ugovorenog radi promjene stope PDV-a")</f>
        <v>2.829.117,56
konačno plaćeni iznos veći je od ugovorenog radi promjene stope PDV-a</v>
      </c>
      <c r="K188" s="2"/>
    </row>
    <row r="189" spans="1:11" ht="47.25" x14ac:dyDescent="0.25">
      <c r="A189" s="1" t="str">
        <f>"185/2012"</f>
        <v>185/2012</v>
      </c>
      <c r="B189" s="1" t="s">
        <v>11</v>
      </c>
      <c r="C189" s="1" t="s">
        <v>1561</v>
      </c>
      <c r="D189" s="1" t="str">
        <f>"EM-682-009/2011"</f>
        <v>EM-682-009/2011</v>
      </c>
      <c r="E189" s="2"/>
      <c r="F189" s="1" t="str">
        <f>"0,00"</f>
        <v>0,00</v>
      </c>
      <c r="G189" s="1" t="str">
        <f>CONCATENATE("23.03.2012.",CHAR(10),"130 dana do završetka radova na uređenju objekta")</f>
        <v>23.03.2012.
130 dana do završetka radova na uređenju objekta</v>
      </c>
      <c r="H189" s="1" t="str">
        <f>CONCATENATE("SLIV OPREMA D.O.O., ZAGREB")</f>
        <v>SLIV OPREMA D.O.O., ZAGREB</v>
      </c>
      <c r="I189" s="2"/>
      <c r="J189" s="1"/>
      <c r="K189" s="2"/>
    </row>
    <row r="190" spans="1:11" ht="63" x14ac:dyDescent="0.25">
      <c r="A190" s="1" t="str">
        <f>"186/2012"</f>
        <v>186/2012</v>
      </c>
      <c r="B190" s="1" t="s">
        <v>14</v>
      </c>
      <c r="C190" s="1" t="s">
        <v>1562</v>
      </c>
      <c r="D190" s="1" t="str">
        <f>CONCATENATE("EM-993-012/2011.",CHAR(10),"N-16-M-100668-090112 od 10.01.2012.")</f>
        <v>EM-993-012/2011.
N-16-M-100668-090112 od 10.01.2012.</v>
      </c>
      <c r="E190" s="1" t="s">
        <v>15</v>
      </c>
      <c r="F190" s="1" t="str">
        <f>"71.683,87"</f>
        <v>71.683,87</v>
      </c>
      <c r="G190" s="1" t="str">
        <f>CONCATENATE("23.03.2012.",CHAR(10),"120 dana")</f>
        <v>23.03.2012.
120 dana</v>
      </c>
      <c r="H190" s="1" t="str">
        <f>CONCATENATE("VERIDON D.O.O., ZAGREB-SUSEDGRAD")</f>
        <v>VERIDON D.O.O., ZAGREB-SUSEDGRAD</v>
      </c>
      <c r="I190" s="1" t="s">
        <v>120</v>
      </c>
      <c r="J190" s="1" t="str">
        <f>CONCATENATE(SUBSTITUTE(SUBSTITUTE(SUBSTITUTE("89,604.85",".","-"),",","."),"-",","),CHAR(10),"konačno plaćeni iznos veći je od ugovorenog radi promjene stope PDV-a")</f>
        <v>89.604,85
konačno plaćeni iznos veći je od ugovorenog radi promjene stope PDV-a</v>
      </c>
      <c r="K190" s="2"/>
    </row>
    <row r="191" spans="1:11" ht="47.25" x14ac:dyDescent="0.25">
      <c r="A191" s="1" t="str">
        <f>"187/2012"</f>
        <v>187/2012</v>
      </c>
      <c r="B191" s="1" t="s">
        <v>14</v>
      </c>
      <c r="C191" s="1" t="s">
        <v>1563</v>
      </c>
      <c r="D191" s="1" t="str">
        <f>CONCATENATE("EM-996-012/2011",CHAR(10),"N-16-M-100004-020112 od 03.01.2012.")</f>
        <v>EM-996-012/2011
N-16-M-100004-020112 od 03.01.2012.</v>
      </c>
      <c r="E191" s="1" t="s">
        <v>15</v>
      </c>
      <c r="F191" s="1" t="str">
        <f>"338.970,50"</f>
        <v>338.970,50</v>
      </c>
      <c r="G191" s="1" t="str">
        <f>CONCATENATE("23.03.2012.",CHAR(10),"30 dana od dana uvođenja u posao")</f>
        <v>23.03.2012.
30 dana od dana uvođenja u posao</v>
      </c>
      <c r="H191" s="1" t="str">
        <f>CONCATENATE("GEORAD D.O.O., ZAGREB")</f>
        <v>GEORAD D.O.O., ZAGREB</v>
      </c>
      <c r="I191" s="2"/>
      <c r="J191" s="1"/>
      <c r="K191" s="2"/>
    </row>
    <row r="192" spans="1:11" ht="63" x14ac:dyDescent="0.25">
      <c r="A192" s="1" t="str">
        <f>"188/2012"</f>
        <v>188/2012</v>
      </c>
      <c r="B192" s="1" t="s">
        <v>14</v>
      </c>
      <c r="C192" s="1" t="s">
        <v>1564</v>
      </c>
      <c r="D192" s="1" t="str">
        <f>CONCATENATE("EV-756-012/2011",CHAR(10),"N-02-V-146850-051211 od 06.12.2011.")</f>
        <v>EV-756-012/2011
N-02-V-146850-051211 od 06.12.2011.</v>
      </c>
      <c r="E192" s="1" t="s">
        <v>15</v>
      </c>
      <c r="F192" s="1" t="str">
        <f>"206.023,35"</f>
        <v>206.023,35</v>
      </c>
      <c r="G192" s="1" t="str">
        <f>CONCATENATE("23.03.2012.",CHAR(10),"60 dana")</f>
        <v>23.03.2012.
60 dana</v>
      </c>
      <c r="H192" s="1" t="str">
        <f>CONCATENATE("ELEKTROCENTAR PETEK D.O.O., IVANIĆ-GRAD")</f>
        <v>ELEKTROCENTAR PETEK D.O.O., IVANIĆ-GRAD</v>
      </c>
      <c r="I192" s="1" t="s">
        <v>121</v>
      </c>
      <c r="J192" s="1" t="str">
        <f>CONCATENATE(SUBSTITUTE(SUBSTITUTE(SUBSTITUTE("256,147.23",".","-"),",","."),"-",","),CHAR(10),"konačno plaćeni iznos veći je od ugovorenog radi promjene stope PDV-a")</f>
        <v>256.147,23
konačno plaćeni iznos veći je od ugovorenog radi promjene stope PDV-a</v>
      </c>
      <c r="K192" s="2"/>
    </row>
    <row r="193" spans="1:11" ht="78.75" x14ac:dyDescent="0.25">
      <c r="A193" s="1" t="str">
        <f>"189/2012"</f>
        <v>189/2012</v>
      </c>
      <c r="B193" s="1" t="s">
        <v>14</v>
      </c>
      <c r="C193" s="1" t="s">
        <v>1565</v>
      </c>
      <c r="D193" s="1" t="str">
        <f>CONCATENATE("EM-956-012/2011",CHAR(10),"N-16-M-100343-040112 od 05.01.2012.")</f>
        <v>EM-956-012/2011
N-16-M-100343-040112 od 05.01.2012.</v>
      </c>
      <c r="E193" s="1" t="s">
        <v>15</v>
      </c>
      <c r="F193" s="1" t="str">
        <f>"238.500,00"</f>
        <v>238.500,00</v>
      </c>
      <c r="G193" s="1" t="str">
        <f>CONCATENATE("26.03.2012.",CHAR(10),"90 dana")</f>
        <v>26.03.2012.
90 dana</v>
      </c>
      <c r="H193" s="1" t="str">
        <f>CONCATENATE("ŽELJEZNIČKO PROJEKTNO DRUŠTVO, ZAGREB")</f>
        <v>ŽELJEZNIČKO PROJEKTNO DRUŠTVO, ZAGREB</v>
      </c>
      <c r="I193" s="1" t="s">
        <v>122</v>
      </c>
      <c r="J193" s="1" t="str">
        <f>CONCATENATE(SUBSTITUTE(SUBSTITUTE(SUBSTITUTE("298,125.00",".","-"),",","."),"-",","),CHAR(10),"konačno plaćeni iznos veći je od ugovorenog radi promjene stope PDV-a")</f>
        <v>298.125,00
konačno plaćeni iznos veći je od ugovorenog radi promjene stope PDV-a</v>
      </c>
      <c r="K193" s="2"/>
    </row>
    <row r="194" spans="1:11" ht="47.25" x14ac:dyDescent="0.25">
      <c r="A194" s="1" t="str">
        <f>"190/2012"</f>
        <v>190/2012</v>
      </c>
      <c r="B194" s="1" t="s">
        <v>14</v>
      </c>
      <c r="C194" s="1" t="s">
        <v>1566</v>
      </c>
      <c r="D194" s="1" t="str">
        <f>CONCATENATE("EV-819-012/2011",CHAR(10),"N-02-V-148455-131211 od 14.12.2011.")</f>
        <v>EV-819-012/2011
N-02-V-148455-131211 od 14.12.2011.</v>
      </c>
      <c r="E194" s="1" t="s">
        <v>15</v>
      </c>
      <c r="F194" s="1" t="str">
        <f>"250.924,00"</f>
        <v>250.924,00</v>
      </c>
      <c r="G194" s="1" t="str">
        <f>CONCATENATE("26.03.2012.",CHAR(10),"90 dana")</f>
        <v>26.03.2012.
90 dana</v>
      </c>
      <c r="H194" s="1" t="str">
        <f>CONCATENATE("GEORAD D.O.O., ZAGREB",CHAR(10),"GEODIST D.O.O., ZAGREB")</f>
        <v>GEORAD D.O.O., ZAGREB
GEODIST D.O.O., ZAGREB</v>
      </c>
      <c r="I194" s="1" t="s">
        <v>117</v>
      </c>
      <c r="J194" s="1" t="str">
        <f>SUBSTITUTE(SUBSTITUTE(SUBSTITUTE("201,712.36",".","-"),",","."),"-",",")</f>
        <v>201.712,36</v>
      </c>
      <c r="K194" s="2"/>
    </row>
    <row r="195" spans="1:11" ht="63" x14ac:dyDescent="0.25">
      <c r="A195" s="1" t="str">
        <f>"191/2012"</f>
        <v>191/2012</v>
      </c>
      <c r="B195" s="1" t="s">
        <v>11</v>
      </c>
      <c r="C195" s="1" t="s">
        <v>1567</v>
      </c>
      <c r="D195" s="1" t="str">
        <f>CONCATENATE("EV-60-005/2011",CHAR(10),"N-32-M-103841-090112 od 10.02.2012.")</f>
        <v>EV-60-005/2011
N-32-M-103841-090112 od 10.02.2012.</v>
      </c>
      <c r="E195" s="1" t="s">
        <v>12</v>
      </c>
      <c r="F195" s="1" t="str">
        <f>"153.277,54"</f>
        <v>153.277,54</v>
      </c>
      <c r="G195" s="1" t="str">
        <f>CONCATENATE("27.03.2012.",CHAR(10),"odmah po obostranom potpisu Aneksa i izvršiti ih u roku od 30 dana")</f>
        <v>27.03.2012.
odmah po obostranom potpisu Aneksa i izvršiti ih u roku od 30 dana</v>
      </c>
      <c r="H195" s="1" t="str">
        <f>CONCATENATE("TEMPERA D.D., ZAGREB")</f>
        <v>TEMPERA D.D., ZAGREB</v>
      </c>
      <c r="I195" s="1" t="s">
        <v>103</v>
      </c>
      <c r="J195" s="1" t="str">
        <f>SUBSTITUTE(SUBSTITUTE(SUBSTITUTE("188,531.37",".","-"),",","."),"-",",")</f>
        <v>188.531,37</v>
      </c>
      <c r="K195" s="2"/>
    </row>
    <row r="196" spans="1:11" ht="63" x14ac:dyDescent="0.25">
      <c r="A196" s="1" t="str">
        <f>"192/2012"</f>
        <v>192/2012</v>
      </c>
      <c r="B196" s="1" t="s">
        <v>11</v>
      </c>
      <c r="C196" s="1" t="s">
        <v>1568</v>
      </c>
      <c r="D196" s="1" t="str">
        <f>"EM-378-012/2011"</f>
        <v>EM-378-012/2011</v>
      </c>
      <c r="E196" s="2"/>
      <c r="F196" s="1" t="str">
        <f>"0,00"</f>
        <v>0,00</v>
      </c>
      <c r="G196" s="1" t="str">
        <f>CONCATENATE("27.03.2012.",CHAR(10),"do kraja 2012.")</f>
        <v>27.03.2012.
do kraja 2012.</v>
      </c>
      <c r="H196" s="1" t="str">
        <f>CONCATENATE("JURCON PROJEKT D.O.O., ZAGREB")</f>
        <v>JURCON PROJEKT D.O.O., ZAGREB</v>
      </c>
      <c r="I196" s="2"/>
      <c r="J196" s="1"/>
      <c r="K196" s="2"/>
    </row>
    <row r="197" spans="1:11" ht="47.25" x14ac:dyDescent="0.25">
      <c r="A197" s="1" t="str">
        <f>"193/2012"</f>
        <v>193/2012</v>
      </c>
      <c r="B197" s="1" t="s">
        <v>14</v>
      </c>
      <c r="C197" s="1" t="s">
        <v>1569</v>
      </c>
      <c r="D197" s="1" t="str">
        <f>CONCATENATE("EV-594-012/2011",CHAR(10),"N-02-V-143269-111111 od 14.11.2011.")</f>
        <v>EV-594-012/2011
N-02-V-143269-111111 od 14.11.2011.</v>
      </c>
      <c r="E197" s="1" t="s">
        <v>15</v>
      </c>
      <c r="F197" s="1" t="str">
        <f>"927.038,39"</f>
        <v>927.038,39</v>
      </c>
      <c r="G197" s="1" t="str">
        <f>CONCATENATE("27.03.2012.",CHAR(10),"60 dana od dana uvođenja u posao")</f>
        <v>27.03.2012.
60 dana od dana uvođenja u posao</v>
      </c>
      <c r="H197" s="1" t="str">
        <f>CONCATENATE("M. SOLDO D.O.O., ZAGREB",CHAR(10),"GEOGIS D.O.O., ZAGREB")</f>
        <v>M. SOLDO D.O.O., ZAGREB
GEOGIS D.O.O., ZAGREB</v>
      </c>
      <c r="I197" s="2"/>
      <c r="J197" s="1"/>
      <c r="K197" s="2"/>
    </row>
    <row r="198" spans="1:11" ht="63" x14ac:dyDescent="0.25">
      <c r="A198" s="1" t="str">
        <f>"194/2012"</f>
        <v>194/2012</v>
      </c>
      <c r="B198" s="1" t="s">
        <v>14</v>
      </c>
      <c r="C198" s="1" t="s">
        <v>1570</v>
      </c>
      <c r="D198" s="1" t="str">
        <f>CONCATENATE("EV-780-012/2011",CHAR(10),"N-02-V-148603-141211 od 15.12.2011.")</f>
        <v>EV-780-012/2011
N-02-V-148603-141211 od 15.12.2011.</v>
      </c>
      <c r="E198" s="1" t="s">
        <v>15</v>
      </c>
      <c r="F198" s="1" t="str">
        <f>"8.663.939,82"</f>
        <v>8.663.939,82</v>
      </c>
      <c r="G198" s="1" t="str">
        <f>CONCATENATE("28.03.2012.",CHAR(10),"5 mjeseci")</f>
        <v>28.03.2012.
5 mjeseci</v>
      </c>
      <c r="H198" s="1" t="str">
        <f>CONCATENATE("TEHNIKA D.D., ZAGREB")</f>
        <v>TEHNIKA D.D., ZAGREB</v>
      </c>
      <c r="I198" s="1" t="s">
        <v>123</v>
      </c>
      <c r="J198" s="1" t="str">
        <f>CONCATENATE(SUBSTITUTE(SUBSTITUTE(SUBSTITUTE("10,816,249.85",".","-"),",","."),"-",","),CHAR(10),"konačno plaćeni iznos veći je od ugovorenog radi promjene stope PDV-a")</f>
        <v>10.816.249,85
konačno plaćeni iznos veći je od ugovorenog radi promjene stope PDV-a</v>
      </c>
      <c r="K198" s="2"/>
    </row>
    <row r="199" spans="1:11" ht="47.25" x14ac:dyDescent="0.25">
      <c r="A199" s="1" t="str">
        <f>"195/2012"</f>
        <v>195/2012</v>
      </c>
      <c r="B199" s="1" t="s">
        <v>14</v>
      </c>
      <c r="C199" s="1" t="s">
        <v>1571</v>
      </c>
      <c r="D199" s="1" t="str">
        <f>CONCATENATE("EV-746-012/2011",CHAR(10),"N-02-V-149469-191211 od 20.12.2011.")</f>
        <v>EV-746-012/2011
N-02-V-149469-191211 od 20.12.2011.</v>
      </c>
      <c r="E199" s="1" t="s">
        <v>15</v>
      </c>
      <c r="F199" s="1" t="str">
        <f>"1.179.642,42"</f>
        <v>1.179.642,42</v>
      </c>
      <c r="G199" s="1" t="str">
        <f>CONCATENATE("28.03.2012.",CHAR(10),"70 dana od dana uvođenja u posao")</f>
        <v>28.03.2012.
70 dana od dana uvođenja u posao</v>
      </c>
      <c r="H199" s="1" t="str">
        <f>CONCATENATE("PUGAR D.O.O., VELIKA GORICA",CHAR(10),"GEOMETAR D.O.O., ZAGREB")</f>
        <v>PUGAR D.O.O., VELIKA GORICA
GEOMETAR D.O.O., ZAGREB</v>
      </c>
      <c r="I199" s="2"/>
      <c r="J199" s="1"/>
      <c r="K199" s="2"/>
    </row>
    <row r="200" spans="1:11" ht="110.25" x14ac:dyDescent="0.25">
      <c r="A200" s="1" t="str">
        <f>"196/2012"</f>
        <v>196/2012</v>
      </c>
      <c r="B200" s="1" t="s">
        <v>14</v>
      </c>
      <c r="C200" s="1" t="s">
        <v>1572</v>
      </c>
      <c r="D200" s="1" t="str">
        <f>CONCATENATE("EM-959-012/2011",CHAR(10),"N-16-M-150766-271211 od 28.12.2011.")</f>
        <v>EM-959-012/2011
N-16-M-150766-271211 od 28.12.2011.</v>
      </c>
      <c r="E200" s="1" t="s">
        <v>15</v>
      </c>
      <c r="F200" s="1" t="str">
        <f>"186.000,00"</f>
        <v>186.000,00</v>
      </c>
      <c r="G200" s="1" t="str">
        <f>CONCATENATE("29.03.2012.",CHAR(10),"3 mjeseca, računajući od dana obostranog potpisa Ugovora")</f>
        <v>29.03.2012.
3 mjeseca, računajući od dana obostranog potpisa Ugovora</v>
      </c>
      <c r="H200" s="1" t="str">
        <f>CONCATENATE("AKING D.O.O., ZAGREB",CHAR(10),"IPT-INŽENJERING D.O.O., ZAGREB",CHAR(10),"TT INŽENJERING D.O.O., ZABOK",CHAR(10),"MARKIVA PROJEKT D.O.O., ZAGREB",CHAR(10),"SONUS D.O.O., ZAGREB",CHAR(10),"ZAGREBAČKI HOLDING D.O.O., PODRUŽNICA ZRINJEVAC, ZAGREB")</f>
        <v>AKING D.O.O., ZAGREB
IPT-INŽENJERING D.O.O., ZAGREB
TT INŽENJERING D.O.O., ZABOK
MARKIVA PROJEKT D.O.O., ZAGREB
SONUS D.O.O., ZAGREB
ZAGREBAČKI HOLDING D.O.O., PODRUŽNICA ZRINJEVAC, ZAGREB</v>
      </c>
      <c r="I200" s="2"/>
      <c r="J200" s="1"/>
      <c r="K200" s="2"/>
    </row>
    <row r="201" spans="1:11" ht="63" x14ac:dyDescent="0.25">
      <c r="A201" s="1" t="str">
        <f>"197/2012"</f>
        <v>197/2012</v>
      </c>
      <c r="B201" s="1" t="s">
        <v>26</v>
      </c>
      <c r="C201" s="1" t="s">
        <v>124</v>
      </c>
      <c r="D201" s="1" t="str">
        <f>"EV-308-012/2011."</f>
        <v>EV-308-012/2011.</v>
      </c>
      <c r="E201" s="1" t="s">
        <v>15</v>
      </c>
      <c r="F201" s="1" t="str">
        <f>"728.309,00"</f>
        <v>728.309,00</v>
      </c>
      <c r="G201" s="1" t="str">
        <f>CONCATENATE("30.03.2012.",CHAR(10),"tijekom 2012")</f>
        <v>30.03.2012.
tijekom 2012</v>
      </c>
      <c r="H201" s="1" t="str">
        <f>CONCATENATE("URAR LEBAROVIĆ OBRT ZA PROIZVODNJU I POPRAVAK SATOVA VL. DALIBOR LEBAROVIĆ, ZAGREB")</f>
        <v>URAR LEBAROVIĆ OBRT ZA PROIZVODNJU I POPRAVAK SATOVA VL. DALIBOR LEBAROVIĆ, ZAGREB</v>
      </c>
      <c r="I201" s="1" t="s">
        <v>125</v>
      </c>
      <c r="J201" s="1" t="str">
        <f>CONCATENATE(SUBSTITUTE(SUBSTITUTE(SUBSTITUTE("908,718.75",".","-"),",","."),"-",","),CHAR(10),"konačno plaćeni iznos veći je od ugovorenog radi promjene stope PDV-a")</f>
        <v>908.718,75
konačno plaćeni iznos veći je od ugovorenog radi promjene stope PDV-a</v>
      </c>
      <c r="K201" s="2"/>
    </row>
    <row r="202" spans="1:11" ht="63" x14ac:dyDescent="0.25">
      <c r="A202" s="1" t="str">
        <f>"198/2012"</f>
        <v>198/2012</v>
      </c>
      <c r="B202" s="1" t="s">
        <v>14</v>
      </c>
      <c r="C202" s="1" t="s">
        <v>1573</v>
      </c>
      <c r="D202" s="1" t="str">
        <f>CONCATENATE("EV-761-009/2011",CHAR(10),"N-02-V-148843-151211 od 16.12.2011.")</f>
        <v>EV-761-009/2011
N-02-V-148843-151211 od 16.12.2011.</v>
      </c>
      <c r="E202" s="1" t="s">
        <v>15</v>
      </c>
      <c r="F202" s="1" t="str">
        <f>"1.692.110,39"</f>
        <v>1.692.110,39</v>
      </c>
      <c r="G202" s="1" t="str">
        <f>CONCATENATE("30.03.2012.",CHAR(10),"90 dana, računajući od dana uvođenja u posao")</f>
        <v>30.03.2012.
90 dana, računajući od dana uvođenja u posao</v>
      </c>
      <c r="H202" s="1" t="str">
        <f>CONCATENATE("MEŠIĆ COM D.O.O., ZAGREB",CHAR(10),"IS-GRIJANJE D.O.O., ZAGREB",CHAR(10),"MJERNIK LIMA D.O.O., ZAGREB")</f>
        <v>MEŠIĆ COM D.O.O., ZAGREB
IS-GRIJANJE D.O.O., ZAGREB
MJERNIK LIMA D.O.O., ZAGREB</v>
      </c>
      <c r="I202" s="1" t="s">
        <v>126</v>
      </c>
      <c r="J202" s="1" t="str">
        <f>CONCATENATE(SUBSTITUTE(SUBSTITUTE(SUBSTITUTE("2,115,072.54",".","-"),",","."),"-",","),CHAR(10),"konačno plaćeni iznos veći je od ugovorenog radi promjene stope PDV-a")</f>
        <v>2.115.072,54
konačno plaćeni iznos veći je od ugovorenog radi promjene stope PDV-a</v>
      </c>
      <c r="K202" s="2"/>
    </row>
    <row r="203" spans="1:11" ht="47.25" x14ac:dyDescent="0.25">
      <c r="A203" s="1" t="str">
        <f>"199/2012"</f>
        <v>199/2012</v>
      </c>
      <c r="B203" s="1" t="s">
        <v>14</v>
      </c>
      <c r="C203" s="1" t="s">
        <v>1574</v>
      </c>
      <c r="D203" s="1" t="str">
        <f>CONCATENATE("EV-802-012/2011",CHAR(10),"N-02-V-148402-131211 od 14.12.2011.")</f>
        <v>EV-802-012/2011
N-02-V-148402-131211 od 14.12.2011.</v>
      </c>
      <c r="E203" s="1" t="s">
        <v>15</v>
      </c>
      <c r="F203" s="1" t="str">
        <f>"5.308.425,30"</f>
        <v>5.308.425,30</v>
      </c>
      <c r="G203" s="1" t="str">
        <f>CONCATENATE("02.04.2012.",CHAR(10),"90 dana od dana uvođenja u posao")</f>
        <v>02.04.2012.
90 dana od dana uvođenja u posao</v>
      </c>
      <c r="H203" s="1" t="str">
        <f>CONCATENATE("GIP PIONIR D.O.O., ZAGREB",CHAR(10),"GEO-MREŽA D.O.O., ZAGREB")</f>
        <v>GIP PIONIR D.O.O., ZAGREB
GEO-MREŽA D.O.O., ZAGREB</v>
      </c>
      <c r="I203" s="2"/>
      <c r="J203" s="1"/>
      <c r="K203" s="2"/>
    </row>
    <row r="204" spans="1:11" ht="63" x14ac:dyDescent="0.25">
      <c r="A204" s="1" t="str">
        <f>"200/2012"</f>
        <v>200/2012</v>
      </c>
      <c r="B204" s="1" t="s">
        <v>14</v>
      </c>
      <c r="C204" s="1" t="s">
        <v>1575</v>
      </c>
      <c r="D204" s="1" t="str">
        <f>CONCATENATE("EV-803-012/2011",CHAR(10),"N-02-V-149129-161211 od 19.12.2011.")</f>
        <v>EV-803-012/2011
N-02-V-149129-161211 od 19.12.2011.</v>
      </c>
      <c r="E204" s="1" t="s">
        <v>15</v>
      </c>
      <c r="F204" s="1" t="str">
        <f>"2.809.409,00"</f>
        <v>2.809.409,00</v>
      </c>
      <c r="G204" s="1" t="str">
        <f>CONCATENATE("02.04.2012.",CHAR(10),"120 dana od dana uvođenja u posao")</f>
        <v>02.04.2012.
120 dana od dana uvođenja u posao</v>
      </c>
      <c r="H204" s="1" t="str">
        <f>CONCATENATE("GIP PIONIR D.O.O., ZAGREB",CHAR(10),"GEO-MREŽA D.O.O., ZAGREB")</f>
        <v>GIP PIONIR D.O.O., ZAGREB
GEO-MREŽA D.O.O., ZAGREB</v>
      </c>
      <c r="I204" s="1" t="s">
        <v>127</v>
      </c>
      <c r="J204" s="1" t="str">
        <f>CONCATENATE(SUBSTITUTE(SUBSTITUTE(SUBSTITUTE("3,511,516.83",".","-"),",","."),"-",","),CHAR(10),"konačno plaćeni iznos veći je od ugovorenog radi promjene stope PDV-a")</f>
        <v>3.511.516,83
konačno plaćeni iznos veći je od ugovorenog radi promjene stope PDV-a</v>
      </c>
      <c r="K204" s="2"/>
    </row>
    <row r="205" spans="1:11" ht="78.75" x14ac:dyDescent="0.25">
      <c r="A205" s="1" t="str">
        <f>"201/2012"</f>
        <v>201/2012</v>
      </c>
      <c r="B205" s="1" t="s">
        <v>14</v>
      </c>
      <c r="C205" s="1" t="s">
        <v>1576</v>
      </c>
      <c r="D205" s="1" t="str">
        <f>CONCATENATE("EV-573-012/2011",CHAR(10),"N-02-V-146916-051211 od 06.12.2011.")</f>
        <v>EV-573-012/2011
N-02-V-146916-051211 od 06.12.2011.</v>
      </c>
      <c r="E205" s="1" t="s">
        <v>15</v>
      </c>
      <c r="F205" s="1" t="str">
        <f>"485.282,80"</f>
        <v>485.282,80</v>
      </c>
      <c r="G205" s="1" t="str">
        <f>CONCATENATE("03.04.2012.",CHAR(10),"sukcesivno po potpisu ugovora prema kontinuiranim pisanim nalozima naručitelja do realizacije ugovor")</f>
        <v>03.04.2012.
sukcesivno po potpisu ugovora prema kontinuiranim pisanim nalozima naručitelja do realizacije ugovor</v>
      </c>
      <c r="H205" s="1" t="str">
        <f>CONCATENATE("ERG D.O.O., VARAŽDIN")</f>
        <v>ERG D.O.O., VARAŽDIN</v>
      </c>
      <c r="I205" s="1" t="s">
        <v>128</v>
      </c>
      <c r="J205" s="1" t="str">
        <f>CONCATENATE(SUBSTITUTE(SUBSTITUTE(SUBSTITUTE("606,540.83",".","-"),",","."),"-",","),CHAR(10),"konacno plaćeni iznos veći je od ugovorenog radi promjene stope PDV-a")</f>
        <v>606.540,83
konacno plaćeni iznos veći je od ugovorenog radi promjene stope PDV-a</v>
      </c>
      <c r="K205" s="2"/>
    </row>
    <row r="206" spans="1:11" ht="47.25" x14ac:dyDescent="0.25">
      <c r="A206" s="1" t="str">
        <f>"202/2012"</f>
        <v>202/2012</v>
      </c>
      <c r="B206" s="1" t="s">
        <v>14</v>
      </c>
      <c r="C206" s="1" t="s">
        <v>1577</v>
      </c>
      <c r="D206" s="1" t="str">
        <f>CONCATENATE("EM-799-012/2011",CHAR(10),"N-32-M-149175-161211 od 19.12.2011.")</f>
        <v>EM-799-012/2011
N-32-M-149175-161211 od 19.12.2011.</v>
      </c>
      <c r="E206" s="1" t="s">
        <v>12</v>
      </c>
      <c r="F206" s="1" t="str">
        <f>"209.491,96"</f>
        <v>209.491,96</v>
      </c>
      <c r="G206" s="1" t="str">
        <f>CONCATENATE("03.04.2012.",CHAR(10),"30 dana, računajući od dana uvođenja u posao")</f>
        <v>03.04.2012.
30 dana, računajući od dana uvođenja u posao</v>
      </c>
      <c r="H206" s="1" t="str">
        <f>CONCATENATE("HEP-OPERATOR DISTRIBUCIJSKOG SUSTAVA D.O.O., ZAGREB")</f>
        <v>HEP-OPERATOR DISTRIBUCIJSKOG SUSTAVA D.O.O., ZAGREB</v>
      </c>
      <c r="I206" s="2"/>
      <c r="J206" s="1"/>
      <c r="K206" s="2"/>
    </row>
    <row r="207" spans="1:11" ht="31.5" x14ac:dyDescent="0.25">
      <c r="A207" s="1" t="str">
        <f>"203/2012"</f>
        <v>203/2012</v>
      </c>
      <c r="B207" s="1" t="s">
        <v>11</v>
      </c>
      <c r="C207" s="1" t="s">
        <v>1578</v>
      </c>
      <c r="D207" s="1" t="str">
        <f>"EM-226-018/2011"</f>
        <v>EM-226-018/2011</v>
      </c>
      <c r="E207" s="2"/>
      <c r="F207" s="1" t="str">
        <f>"0,00"</f>
        <v>0,00</v>
      </c>
      <c r="G207" s="1" t="str">
        <f>CONCATENATE("03.04.2012.",CHAR(10),"do sklapanja novog")</f>
        <v>03.04.2012.
do sklapanja novog</v>
      </c>
      <c r="H207" s="1" t="str">
        <f>CONCATENATE("ROTO DINAMIC D.O.O., ZAGREB")</f>
        <v>ROTO DINAMIC D.O.O., ZAGREB</v>
      </c>
      <c r="I207" s="2"/>
      <c r="J207" s="1"/>
      <c r="K207" s="2"/>
    </row>
    <row r="208" spans="1:11" ht="47.25" x14ac:dyDescent="0.25">
      <c r="A208" s="1" t="str">
        <f>"204/2012"</f>
        <v>204/2012</v>
      </c>
      <c r="B208" s="1" t="s">
        <v>14</v>
      </c>
      <c r="C208" s="1" t="s">
        <v>1579</v>
      </c>
      <c r="D208" s="1" t="str">
        <f>CONCATENATE("EV-787-012/2011",CHAR(10),"N-02-V-146806-021211 od 05.12.2011.")</f>
        <v>EV-787-012/2011
N-02-V-146806-021211 od 05.12.2011.</v>
      </c>
      <c r="E208" s="1" t="s">
        <v>15</v>
      </c>
      <c r="F208" s="1" t="str">
        <f>"467.210,00"</f>
        <v>467.210,00</v>
      </c>
      <c r="G208" s="1" t="str">
        <f>CONCATENATE("05.04.2012.",CHAR(10),"40 dana od dana uvođenja u posao")</f>
        <v>05.04.2012.
40 dana od dana uvođenja u posao</v>
      </c>
      <c r="H208" s="1" t="str">
        <f>CONCATENATE("M. SOLDO D.O.O., ZAGREB",CHAR(10),"GEOGIS D.O.O., ZAGREB")</f>
        <v>M. SOLDO D.O.O., ZAGREB
GEOGIS D.O.O., ZAGREB</v>
      </c>
      <c r="I208" s="2"/>
      <c r="J208" s="1"/>
      <c r="K208" s="2"/>
    </row>
    <row r="209" spans="1:11" ht="47.25" x14ac:dyDescent="0.25">
      <c r="A209" s="1" t="str">
        <f>"205/2012"</f>
        <v>205/2012</v>
      </c>
      <c r="B209" s="1" t="s">
        <v>14</v>
      </c>
      <c r="C209" s="1" t="s">
        <v>1580</v>
      </c>
      <c r="D209" s="1" t="str">
        <f>CONCATENATE("EM-797-012/2011",CHAR(10),"N-16-M-147394-071211 od 08.12.2011.")</f>
        <v>EM-797-012/2011
N-16-M-147394-071211 od 08.12.2011.</v>
      </c>
      <c r="E209" s="1" t="s">
        <v>15</v>
      </c>
      <c r="F209" s="1" t="str">
        <f>"284.716,00"</f>
        <v>284.716,00</v>
      </c>
      <c r="G209" s="1" t="str">
        <f>CONCATENATE("05.04.2012.",CHAR(10),"30 dana, računajući od dana uvođenja u posao")</f>
        <v>05.04.2012.
30 dana, računajući od dana uvođenja u posao</v>
      </c>
      <c r="H209" s="1" t="str">
        <f>CONCATENATE("E.G.S.-ELEKTROGRADITELJSTVO D.O.O., ZAGREB")</f>
        <v>E.G.S.-ELEKTROGRADITELJSTVO D.O.O., ZAGREB</v>
      </c>
      <c r="I209" s="1" t="s">
        <v>129</v>
      </c>
      <c r="J209" s="1" t="str">
        <f>SUBSTITUTE(SUBSTITUTE(SUBSTITUTE("338,604.98",".","-"),",","."),"-",",")</f>
        <v>338.604,98</v>
      </c>
      <c r="K209" s="2"/>
    </row>
    <row r="210" spans="1:11" ht="47.25" x14ac:dyDescent="0.25">
      <c r="A210" s="1" t="str">
        <f>"206/2012"</f>
        <v>206/2012</v>
      </c>
      <c r="B210" s="1" t="s">
        <v>14</v>
      </c>
      <c r="C210" s="1" t="s">
        <v>1581</v>
      </c>
      <c r="D210" s="1" t="str">
        <f>CONCATENATE("EM-542-005/2011",CHAR(10),"N-16-M-132670-180811 od 22.08.2012.")</f>
        <v>EM-542-005/2011
N-16-M-132670-180811 od 22.08.2012.</v>
      </c>
      <c r="E210" s="1" t="s">
        <v>15</v>
      </c>
      <c r="F210" s="1" t="str">
        <f>"100.841,00"</f>
        <v>100.841,00</v>
      </c>
      <c r="G210" s="1" t="str">
        <f>CONCATENATE("06.04.2012.",CHAR(10),"20 dana od dana uvođenja u posao")</f>
        <v>06.04.2012.
20 dana od dana uvođenja u posao</v>
      </c>
      <c r="H210" s="1" t="str">
        <f>CONCATENATE("GEORAD D.O.O., ZAGREB",CHAR(10),"GEODIST D.O.O., ZAGREB")</f>
        <v>GEORAD D.O.O., ZAGREB
GEODIST D.O.O., ZAGREB</v>
      </c>
      <c r="I210" s="1" t="s">
        <v>130</v>
      </c>
      <c r="J210" s="1" t="str">
        <f>SUBSTITUTE(SUBSTITUTE(SUBSTITUTE("123,958.54",".","-"),",","."),"-",",")</f>
        <v>123.958,54</v>
      </c>
      <c r="K210" s="2"/>
    </row>
    <row r="211" spans="1:11" ht="63" x14ac:dyDescent="0.25">
      <c r="A211" s="1" t="str">
        <f>"207/2012"</f>
        <v>207/2012</v>
      </c>
      <c r="B211" s="1" t="s">
        <v>14</v>
      </c>
      <c r="C211" s="1" t="s">
        <v>1582</v>
      </c>
      <c r="D211" s="1" t="str">
        <f>CONCATENATE("EM-800-012/2011",CHAR(10),"N-16-M-147351-071211 od 08.12.2011.")</f>
        <v>EM-800-012/2011
N-16-M-147351-071211 od 08.12.2011.</v>
      </c>
      <c r="E211" s="1" t="s">
        <v>15</v>
      </c>
      <c r="F211" s="1" t="str">
        <f>"23.900,00"</f>
        <v>23.900,00</v>
      </c>
      <c r="G211" s="1" t="str">
        <f>CONCATENATE("11.04.2012.",CHAR(10),"90 dana od dana potpisa ugovora")</f>
        <v>11.04.2012.
90 dana od dana potpisa ugovora</v>
      </c>
      <c r="H211" s="1" t="str">
        <f>CONCATENATE("DALEKOVOD-PROJEKT D.O.O., ZAGREB")</f>
        <v>DALEKOVOD-PROJEKT D.O.O., ZAGREB</v>
      </c>
      <c r="I211" s="1" t="s">
        <v>131</v>
      </c>
      <c r="J211" s="1" t="str">
        <f>CONCATENATE(SUBSTITUTE(SUBSTITUTE(SUBSTITUTE("29,875.00",".","-"),",","."),"-",","),CHAR(10),"konačno plaćeni iznos veći je od ugovorenog radi promjene stope PDV-a")</f>
        <v>29.875,00
konačno plaćeni iznos veći je od ugovorenog radi promjene stope PDV-a</v>
      </c>
      <c r="K211" s="2"/>
    </row>
    <row r="212" spans="1:11" ht="63" x14ac:dyDescent="0.25">
      <c r="A212" s="1" t="str">
        <f>"208/2012"</f>
        <v>208/2012</v>
      </c>
      <c r="B212" s="1" t="s">
        <v>14</v>
      </c>
      <c r="C212" s="1" t="s">
        <v>1583</v>
      </c>
      <c r="D212" s="1" t="str">
        <f>CONCATENATE("EV-969-009/2011",CHAR(10),"N-02-V-149294-171211 od 20.12.2011.")</f>
        <v>EV-969-009/2011
N-02-V-149294-171211 od 20.12.2011.</v>
      </c>
      <c r="E212" s="1" t="s">
        <v>15</v>
      </c>
      <c r="F212" s="1" t="str">
        <f>"930.094,65"</f>
        <v>930.094,65</v>
      </c>
      <c r="G212" s="1" t="str">
        <f>CONCATENATE("11.04.2012.",CHAR(10),"60 dana, računajući od dana uvođenja u posao")</f>
        <v>11.04.2012.
60 dana, računajući od dana uvođenja u posao</v>
      </c>
      <c r="H212" s="1" t="str">
        <f>CONCATENATE("HM-PATRIA D.O.O., ZAGREB")</f>
        <v>HM-PATRIA D.O.O., ZAGREB</v>
      </c>
      <c r="I212" s="1" t="s">
        <v>132</v>
      </c>
      <c r="J212" s="1" t="str">
        <f>CONCATENATE(SUBSTITUTE(SUBSTITUTE(SUBSTITUTE("1,160,561.01",".","-"),",","."),"-",","),CHAR(10),"konačno plaćeni iznos veći je od ugovorenog radi promjene stope PDV-a")</f>
        <v>1.160.561,01
konačno plaćeni iznos veći je od ugovorenog radi promjene stope PDV-a</v>
      </c>
      <c r="K212" s="2"/>
    </row>
    <row r="213" spans="1:11" ht="47.25" x14ac:dyDescent="0.25">
      <c r="A213" s="1" t="str">
        <f>"209/2012"</f>
        <v>209/2012</v>
      </c>
      <c r="B213" s="1" t="s">
        <v>14</v>
      </c>
      <c r="C213" s="1" t="s">
        <v>1584</v>
      </c>
      <c r="D213" s="1" t="str">
        <f>CONCATENATE("EM-745-012/2011",CHAR(10),"N-16-M-146084-291111 od 30.11.2011.")</f>
        <v>EM-745-012/2011
N-16-M-146084-291111 od 30.11.2011.</v>
      </c>
      <c r="E213" s="1" t="s">
        <v>15</v>
      </c>
      <c r="F213" s="1" t="str">
        <f>"106.916,00"</f>
        <v>106.916,00</v>
      </c>
      <c r="G213" s="1" t="str">
        <f>CONCATENATE("11.04.2012.",CHAR(10),"10 dana, računajući od dana uvođenja u posao")</f>
        <v>11.04.2012.
10 dana, računajući od dana uvođenja u posao</v>
      </c>
      <c r="H213" s="1" t="str">
        <f>CONCATENATE("ZAGREBAČKI HOLDING D.O.O., PODRUŽNICA ZRINJEVAC, ZAGREB")</f>
        <v>ZAGREBAČKI HOLDING D.O.O., PODRUŽNICA ZRINJEVAC, ZAGREB</v>
      </c>
      <c r="I213" s="2"/>
      <c r="J213" s="1"/>
      <c r="K213" s="2"/>
    </row>
    <row r="214" spans="1:11" ht="141.75" x14ac:dyDescent="0.25">
      <c r="A214" s="1" t="str">
        <f>"210/2012"</f>
        <v>210/2012</v>
      </c>
      <c r="B214" s="1" t="s">
        <v>14</v>
      </c>
      <c r="C214" s="1" t="s">
        <v>1585</v>
      </c>
      <c r="D214" s="1" t="str">
        <f>CONCATENATE("EV-767-012/2011",CHAR(10),"N-02-V-146742-021211 od 05.12.2011.")</f>
        <v>EV-767-012/2011
N-02-V-146742-021211 od 05.12.2011.</v>
      </c>
      <c r="E214" s="1" t="s">
        <v>15</v>
      </c>
      <c r="F214" s="1" t="str">
        <f>"1.451.997,06"</f>
        <v>1.451.997,06</v>
      </c>
      <c r="G214" s="1" t="str">
        <f>CONCATENATE("11.04.2012.",CHAR(10),"12 mjeseci, računajući od dana obostranog potpisa Ugovora")</f>
        <v>11.04.2012.
12 mjeseci, računajući od dana obostranog potpisa Ugovora</v>
      </c>
      <c r="H214" s="1" t="str">
        <f>CONCATENATE("SMAGRA D.O.O., ZAGREB",CHAR(10),"ARTEC D.O.O., ZAGREB",CHAR(10),"VPS INŽENJERING D.O.O., ZAGREB",CHAR(10),"PROJEKTNI BIRO NAGLIĆ D.O.O., ZAGREB",CHAR(10),"GRAĐEVINSKI FAKULTET, ZAGREB",CHAR(10),"GEOEKSPERT D.O.O., ZAGREB-NOVI ZAGREB",CHAR(10),"GEOFORMAT D.O.O., ZAGREB")</f>
        <v>SMAGRA D.O.O., ZAGREB
ARTEC D.O.O., ZAGREB
VPS INŽENJERING D.O.O., ZAGREB
PROJEKTNI BIRO NAGLIĆ D.O.O., ZAGREB
GRAĐEVINSKI FAKULTET, ZAGREB
GEOEKSPERT D.O.O., ZAGREB-NOVI ZAGREB
GEOFORMAT D.O.O., ZAGREB</v>
      </c>
      <c r="I214" s="2"/>
      <c r="J214" s="1"/>
      <c r="K214" s="2"/>
    </row>
    <row r="215" spans="1:11" ht="63" x14ac:dyDescent="0.25">
      <c r="A215" s="1" t="str">
        <f>"211/2012"</f>
        <v>211/2012</v>
      </c>
      <c r="B215" s="1" t="s">
        <v>14</v>
      </c>
      <c r="C215" s="1" t="s">
        <v>1586</v>
      </c>
      <c r="D215" s="1" t="str">
        <f>CONCATENATE("EM-826-009/2011",CHAR(10),"N-16-M-147739-091211 od 12.12.2011.")</f>
        <v>EM-826-009/2011
N-16-M-147739-091211 od 12.12.2011.</v>
      </c>
      <c r="E215" s="1" t="s">
        <v>15</v>
      </c>
      <c r="F215" s="1" t="str">
        <f>"262.160,00"</f>
        <v>262.160,00</v>
      </c>
      <c r="G215" s="1" t="str">
        <f>CONCATENATE("12.04.2012.",CHAR(10),"u roku od 30 dana")</f>
        <v>12.04.2012.
u roku od 30 dana</v>
      </c>
      <c r="H215" s="1" t="str">
        <f>CONCATENATE("OPREMA RADMAN D.O.O., ZAGREB-SLOBOŠTINA")</f>
        <v>OPREMA RADMAN D.O.O., ZAGREB-SLOBOŠTINA</v>
      </c>
      <c r="I215" s="1" t="s">
        <v>100</v>
      </c>
      <c r="J215" s="1" t="str">
        <f>CONCATENATE(SUBSTITUTE(SUBSTITUTE(SUBSTITUTE("323,325.00",".","-"),",","."),"-",","),CHAR(10),"konačno plaćeni iznos veći je od ugovorenog radi promjene stope PDV-a")</f>
        <v>323.325,00
konačno plaćeni iznos veći je od ugovorenog radi promjene stope PDV-a</v>
      </c>
      <c r="K215" s="2"/>
    </row>
    <row r="216" spans="1:11" ht="63" x14ac:dyDescent="0.25">
      <c r="A216" s="1" t="str">
        <f>"212/2012"</f>
        <v>212/2012</v>
      </c>
      <c r="B216" s="1" t="s">
        <v>11</v>
      </c>
      <c r="C216" s="1" t="s">
        <v>1587</v>
      </c>
      <c r="D216" s="1" t="str">
        <f>"EV-622-001/2011"</f>
        <v>EV-622-001/2011</v>
      </c>
      <c r="E216" s="2"/>
      <c r="F216" s="1" t="str">
        <f>"0,00"</f>
        <v>0,00</v>
      </c>
      <c r="G216" s="1" t="str">
        <f>CONCATENATE("12.04.2012.",CHAR(10),"do sklapanja novog ugovora")</f>
        <v>12.04.2012.
do sklapanja novog ugovora</v>
      </c>
      <c r="H216" s="1" t="str">
        <f>CONCATENATE("BAN TOURS D.O.O., ZAGREB")</f>
        <v>BAN TOURS D.O.O., ZAGREB</v>
      </c>
      <c r="I216" s="2"/>
      <c r="J216" s="1"/>
      <c r="K216" s="2"/>
    </row>
    <row r="217" spans="1:11" ht="110.25" x14ac:dyDescent="0.25">
      <c r="A217" s="1" t="str">
        <f>"213/2012"</f>
        <v>213/2012</v>
      </c>
      <c r="B217" s="1" t="s">
        <v>11</v>
      </c>
      <c r="C217" s="1" t="s">
        <v>1588</v>
      </c>
      <c r="D217" s="1" t="str">
        <f>"EV-609-004/2011"</f>
        <v>EV-609-004/2011</v>
      </c>
      <c r="E217" s="2"/>
      <c r="F217" s="1" t="str">
        <f>"0,00"</f>
        <v>0,00</v>
      </c>
      <c r="G217" s="1" t="str">
        <f>CONCATENATE("12.04.2012.",CHAR(10),"6 mjeseci, računajući od obostranog potpisa osnovnog ugovora")</f>
        <v>12.04.2012.
6 mjeseci, računajući od obostranog potpisa osnovnog ugovora</v>
      </c>
      <c r="H217" s="1" t="str">
        <f>CONCATENATE("DRUŠTVO ARHITEKATA ZAGREBA, ZAGREB")</f>
        <v>DRUŠTVO ARHITEKATA ZAGREBA, ZAGREB</v>
      </c>
      <c r="I217" s="2"/>
      <c r="J217" s="1"/>
      <c r="K217" s="2"/>
    </row>
    <row r="218" spans="1:11" ht="47.25" x14ac:dyDescent="0.25">
      <c r="A218" s="1" t="str">
        <f>"214/2012"</f>
        <v>214/2012</v>
      </c>
      <c r="B218" s="1" t="s">
        <v>11</v>
      </c>
      <c r="C218" s="1" t="s">
        <v>1589</v>
      </c>
      <c r="D218" s="1" t="str">
        <f>"EV-466 -012/2010"</f>
        <v>EV-466 -012/2010</v>
      </c>
      <c r="E218" s="2"/>
      <c r="F218" s="1" t="str">
        <f>"0,00"</f>
        <v>0,00</v>
      </c>
      <c r="G218" s="1" t="str">
        <f>CONCATENATE("12.04.2012.",CHAR(10),"07. travnja 2013.")</f>
        <v>12.04.2012.
07. travnja 2013.</v>
      </c>
      <c r="H218" s="1" t="str">
        <f>CONCATENATE("INSTAL-PROM D.O.O., ZAGREB",CHAR(10),"NERING D.O.O., SESVETE",CHAR(10),"P.G.P. D.O.O., ZAGREB")</f>
        <v>INSTAL-PROM D.O.O., ZAGREB
NERING D.O.O., SESVETE
P.G.P. D.O.O., ZAGREB</v>
      </c>
      <c r="I218" s="2"/>
      <c r="J218" s="1"/>
      <c r="K218" s="2"/>
    </row>
    <row r="219" spans="1:11" ht="47.25" x14ac:dyDescent="0.25">
      <c r="A219" s="1" t="str">
        <f>"215/2012"</f>
        <v>215/2012</v>
      </c>
      <c r="B219" s="1" t="s">
        <v>11</v>
      </c>
      <c r="C219" s="1" t="s">
        <v>1590</v>
      </c>
      <c r="D219" s="1" t="str">
        <f>"EM-271-009/2011"</f>
        <v>EM-271-009/2011</v>
      </c>
      <c r="E219" s="2"/>
      <c r="F219" s="1" t="str">
        <f>"0,00"</f>
        <v>0,00</v>
      </c>
      <c r="G219" s="1" t="str">
        <f>CONCATENATE("12.04.2012.",CHAR(10),"50 dana, računajući od 1. travnja 2012.")</f>
        <v>12.04.2012.
50 dana, računajući od 1. travnja 2012.</v>
      </c>
      <c r="H219" s="1" t="str">
        <f>CONCATENATE("HEDOM D.O.O., ZAGREB")</f>
        <v>HEDOM D.O.O., ZAGREB</v>
      </c>
      <c r="I219" s="2"/>
      <c r="J219" s="1"/>
      <c r="K219" s="2"/>
    </row>
    <row r="220" spans="1:11" ht="47.25" x14ac:dyDescent="0.25">
      <c r="A220" s="1" t="str">
        <f>"216/2012"</f>
        <v>216/2012</v>
      </c>
      <c r="B220" s="1" t="s">
        <v>11</v>
      </c>
      <c r="C220" s="1" t="s">
        <v>1591</v>
      </c>
      <c r="D220" s="1" t="str">
        <f>CONCATENATE("EV-947-012/2011",CHAR(10),"N-30-V-100726-100112 od 11.01.2012.")</f>
        <v>EV-947-012/2011
N-30-V-100726-100112 od 11.01.2012.</v>
      </c>
      <c r="E220" s="1" t="s">
        <v>12</v>
      </c>
      <c r="F220" s="1" t="str">
        <f>"522.897,40"</f>
        <v>522.897,40</v>
      </c>
      <c r="G220" s="1" t="str">
        <f>CONCATENATE("12.04.2012.",CHAR(10),"60 dana od dana uvođenja u posao")</f>
        <v>12.04.2012.
60 dana od dana uvođenja u posao</v>
      </c>
      <c r="H220" s="1" t="str">
        <f>CONCATENATE("MEŠIĆ COM D.O.O., ZAGREB")</f>
        <v>MEŠIĆ COM D.O.O., ZAGREB</v>
      </c>
      <c r="I220" s="2"/>
      <c r="J220" s="1"/>
      <c r="K220" s="2"/>
    </row>
    <row r="221" spans="1:11" ht="94.5" x14ac:dyDescent="0.25">
      <c r="A221" s="1" t="str">
        <f>"217/2012"</f>
        <v>217/2012</v>
      </c>
      <c r="B221" s="1" t="s">
        <v>14</v>
      </c>
      <c r="C221" s="1" t="s">
        <v>1592</v>
      </c>
      <c r="D221" s="1" t="str">
        <f>CONCATENATE("EV-755-012/2011",CHAR(10),"N-02-V-100105-020112 od 03.01.2012.")</f>
        <v>EV-755-012/2011
N-02-V-100105-020112 od 03.01.2012.</v>
      </c>
      <c r="E221" s="1" t="s">
        <v>15</v>
      </c>
      <c r="F221" s="1" t="str">
        <f>"26.400,00"</f>
        <v>26.400,00</v>
      </c>
      <c r="G221" s="1" t="str">
        <f>CONCATENATE("13.04.2012.",CHAR(10),"6 mjeseci od dana uvođenja u posao")</f>
        <v>13.04.2012.
6 mjeseci od dana uvođenja u posao</v>
      </c>
      <c r="H221" s="1" t="str">
        <f>CONCATENATE("NERING PROJEKT D.O.O., ZAGREB",CHAR(10),"LIPA L.P. D.O.O., ZAGREB",CHAR(10),"NORA DVA D.O.O., ZAGREB",CHAR(10),"SLIMEL D.O.O., ZAGREB",CHAR(10),"MGV D.O.O., ZAGREB",CHAR(10),"STUDIO KUŠAN D.O.O., ZAGREB")</f>
        <v>NERING PROJEKT D.O.O., ZAGREB
LIPA L.P. D.O.O., ZAGREB
NORA DVA D.O.O., ZAGREB
SLIMEL D.O.O., ZAGREB
MGV D.O.O., ZAGREB
STUDIO KUŠAN D.O.O., ZAGREB</v>
      </c>
      <c r="I221" s="2"/>
      <c r="J221" s="1"/>
      <c r="K221" s="2"/>
    </row>
    <row r="222" spans="1:11" ht="63" x14ac:dyDescent="0.25">
      <c r="A222" s="1" t="str">
        <f>"218/2012"</f>
        <v>218/2012</v>
      </c>
      <c r="B222" s="1" t="s">
        <v>14</v>
      </c>
      <c r="C222" s="1" t="s">
        <v>1593</v>
      </c>
      <c r="D222" s="1" t="str">
        <f>CONCATENATE("EM-716-012/2011",CHAR(10),"N-32-M-149635-201211 od 21.12.2011.")</f>
        <v>EM-716-012/2011
N-32-M-149635-201211 od 21.12.2011.</v>
      </c>
      <c r="E222" s="1" t="s">
        <v>12</v>
      </c>
      <c r="F222" s="1" t="str">
        <f>"200.674,67"</f>
        <v>200.674,67</v>
      </c>
      <c r="G222" s="1" t="str">
        <f>CONCATENATE("13.04.2012.",CHAR(10)," sukladno dinamici uređenja Horvatove ulice")</f>
        <v>13.04.2012.
 sukladno dinamici uređenja Horvatove ulice</v>
      </c>
      <c r="H222" s="1" t="str">
        <f>CONCATENATE("HEP-OPERATOR DISTRIBUCIJSKOG SUSTAVA D.O.O., ZAGREB")</f>
        <v>HEP-OPERATOR DISTRIBUCIJSKOG SUSTAVA D.O.O., ZAGREB</v>
      </c>
      <c r="I222" s="1" t="s">
        <v>91</v>
      </c>
      <c r="J222" s="1" t="str">
        <f>CONCATENATE(SUBSTITUTE(SUBSTITUTE(SUBSTITUTE("250,843.34",".","-"),",","."),"-",","),CHAR(10),"konačno plaćeni iznos veći je od ugovorenog radi promjene stope PDV-a")</f>
        <v>250.843,34
konačno plaćeni iznos veći je od ugovorenog radi promjene stope PDV-a</v>
      </c>
      <c r="K222" s="2"/>
    </row>
    <row r="223" spans="1:11" ht="63" x14ac:dyDescent="0.25">
      <c r="A223" s="1" t="str">
        <f>"219/2012"</f>
        <v>219/2012</v>
      </c>
      <c r="B223" s="1" t="s">
        <v>14</v>
      </c>
      <c r="C223" s="1" t="s">
        <v>1594</v>
      </c>
      <c r="D223" s="1" t="str">
        <f>CONCATENATE("EM-711-012/2011",CHAR(10),"N-32-M-101678-180112 od 19.01.2012.")</f>
        <v>EM-711-012/2011
N-32-M-101678-180112 od 19.01.2012.</v>
      </c>
      <c r="E223" s="1" t="s">
        <v>12</v>
      </c>
      <c r="F223" s="1" t="str">
        <f>"73.984,79"</f>
        <v>73.984,79</v>
      </c>
      <c r="G223" s="1" t="str">
        <f>CONCATENATE("13.04.2012.",CHAR(10),"prema dinamici uređenja ulice Bišćanov put")</f>
        <v>13.04.2012.
prema dinamici uređenja ulice Bišćanov put</v>
      </c>
      <c r="H223" s="1" t="str">
        <f>CONCATENATE("HEP-OPERATOR DISTRIBUCIJSKOG SUSTAVA D.O.O., ZAGREB")</f>
        <v>HEP-OPERATOR DISTRIBUCIJSKOG SUSTAVA D.O.O., ZAGREB</v>
      </c>
      <c r="I223" s="1" t="s">
        <v>133</v>
      </c>
      <c r="J223" s="1" t="str">
        <f>CONCATENATE(SUBSTITUTE(SUBSTITUTE(SUBSTITUTE("92,323.14",".","-"),",","."),"-",","),CHAR(10),"konačno plaćeni iznos veći je od ugovorenog radi promjene stope PDV-a")</f>
        <v>92.323,14
konačno plaćeni iznos veći je od ugovorenog radi promjene stope PDV-a</v>
      </c>
      <c r="K223" s="2"/>
    </row>
    <row r="224" spans="1:11" ht="47.25" x14ac:dyDescent="0.25">
      <c r="A224" s="1" t="str">
        <f>"220/2012"</f>
        <v>220/2012</v>
      </c>
      <c r="B224" s="1" t="s">
        <v>14</v>
      </c>
      <c r="C224" s="1" t="s">
        <v>1595</v>
      </c>
      <c r="D224" s="1" t="str">
        <f>CONCATENATE("EM-798-012/2011",CHAR(10),"N-32-M-149192-161211 od 19.12.2011.")</f>
        <v>EM-798-012/2011
N-32-M-149192-161211 od 19.12.2011.</v>
      </c>
      <c r="E224" s="1" t="s">
        <v>12</v>
      </c>
      <c r="F224" s="1" t="str">
        <f>"433.638,50"</f>
        <v>433.638,50</v>
      </c>
      <c r="G224" s="1" t="str">
        <f>CONCATENATE("13.04.2012.",CHAR(10),"60 dana od dana uvođenja u posao")</f>
        <v>13.04.2012.
60 dana od dana uvođenja u posao</v>
      </c>
      <c r="H224" s="1" t="str">
        <f>CONCATENATE("HEP-OPERATOR DISTRIBUCIJSKOG SUSTAVA D.O.O., ZAGREB")</f>
        <v>HEP-OPERATOR DISTRIBUCIJSKOG SUSTAVA D.O.O., ZAGREB</v>
      </c>
      <c r="I224" s="1" t="s">
        <v>134</v>
      </c>
      <c r="J224" s="1" t="str">
        <f>SUBSTITUTE(SUBSTITUTE(SUBSTITUTE("461,010.29",".","-"),",","."),"-",",")</f>
        <v>461.010,29</v>
      </c>
      <c r="K224" s="2"/>
    </row>
    <row r="225" spans="1:11" ht="63" x14ac:dyDescent="0.25">
      <c r="A225" s="1" t="str">
        <f>"221/2012"</f>
        <v>221/2012</v>
      </c>
      <c r="B225" s="1" t="s">
        <v>11</v>
      </c>
      <c r="C225" s="1" t="s">
        <v>1596</v>
      </c>
      <c r="D225" s="1" t="str">
        <f>"EV-527-004/2011"</f>
        <v>EV-527-004/2011</v>
      </c>
      <c r="E225" s="2"/>
      <c r="F225" s="1" t="str">
        <f>"0,00"</f>
        <v>0,00</v>
      </c>
      <c r="G225" s="1" t="str">
        <f>CONCATENATE("13.04.2012.",CHAR(10),"130 dana od dana obostranog potpisa ugovora")</f>
        <v>13.04.2012.
130 dana od dana obostranog potpisa ugovora</v>
      </c>
      <c r="H225" s="1" t="str">
        <f>CONCATENATE("GDI GISDATA D.O.O., ZAGREB",CHAR(10),"GEODIS BRNO SPOL S R. O., BRNO",CHAR(10),"GEO-GAUSS D.O.O., ČAKOVEC")</f>
        <v>GDI GISDATA D.O.O., ZAGREB
GEODIS BRNO SPOL S R. O., BRNO
GEO-GAUSS D.O.O., ČAKOVEC</v>
      </c>
      <c r="I225" s="2"/>
      <c r="J225" s="1"/>
      <c r="K225" s="2"/>
    </row>
    <row r="226" spans="1:11" ht="78.75" x14ac:dyDescent="0.25">
      <c r="A226" s="1" t="str">
        <f>"222/2012"</f>
        <v>222/2012</v>
      </c>
      <c r="B226" s="1" t="s">
        <v>14</v>
      </c>
      <c r="C226" s="1" t="s">
        <v>1597</v>
      </c>
      <c r="D226" s="1" t="str">
        <f>CONCATENATE("EM-998-012/2011",CHAR(10),"N-16-M-102996-010212 od 02.02.2012.")</f>
        <v>EM-998-012/2011
N-16-M-102996-010212 od 02.02.2012.</v>
      </c>
      <c r="E226" s="1" t="s">
        <v>15</v>
      </c>
      <c r="F226" s="1" t="str">
        <f>"9.700,00"</f>
        <v>9.700,00</v>
      </c>
      <c r="G226" s="1" t="str">
        <f>CONCATENATE("16.04.2012.",CHAR(10),"120 dana od dana obostranog potpisa Ugovora")</f>
        <v>16.04.2012.
120 dana od dana obostranog potpisa Ugovora</v>
      </c>
      <c r="H226" s="1" t="str">
        <f>CONCATENATE("NERING PROJEKT D.O.O., ZAGREB",CHAR(10),"PARTNER GRADNJA D.O.O., SESVETE",CHAR(10),"SLIMEL D.O.O., ZAGREB",CHAR(10),"JURIČIĆ INVEST D.O.O., ZAGREB",CHAR(10),"MGV D.O.O., ZAGREB")</f>
        <v>NERING PROJEKT D.O.O., ZAGREB
PARTNER GRADNJA D.O.O., SESVETE
SLIMEL D.O.O., ZAGREB
JURIČIĆ INVEST D.O.O., ZAGREB
MGV D.O.O., ZAGREB</v>
      </c>
      <c r="I226" s="1" t="s">
        <v>135</v>
      </c>
      <c r="J226" s="1" t="str">
        <f>CONCATENATE(SUBSTITUTE(SUBSTITUTE(SUBSTITUTE("12,125.00",".","-"),",","."),"-",","),CHAR(10),"konačno plaćeni iznos veći je od ugovorenog radi promjene stope PDV-a")</f>
        <v>12.125,00
konačno plaćeni iznos veći je od ugovorenog radi promjene stope PDV-a</v>
      </c>
      <c r="K226" s="2"/>
    </row>
    <row r="227" spans="1:11" ht="94.5" x14ac:dyDescent="0.25">
      <c r="A227" s="1" t="str">
        <f>"223/2012"</f>
        <v>223/2012</v>
      </c>
      <c r="B227" s="1" t="s">
        <v>11</v>
      </c>
      <c r="C227" s="1" t="s">
        <v>1598</v>
      </c>
      <c r="D227" s="1" t="str">
        <f>"EM-960-004/2011"</f>
        <v>EM-960-004/2011</v>
      </c>
      <c r="E227" s="2"/>
      <c r="F227" s="1" t="str">
        <f>"0,00"</f>
        <v>0,00</v>
      </c>
      <c r="G227" s="1" t="str">
        <f>CONCATENATE("16.04.2012.",CHAR(10),"15 dana od dana izvršene analize i nadopune projektne dokumentacije")</f>
        <v>16.04.2012.
15 dana od dana izvršene analize i nadopune projektne dokumentacije</v>
      </c>
      <c r="H227" s="1" t="str">
        <f>CONCATENATE("PEEK PROMET D.O.O., ZAGREB")</f>
        <v>PEEK PROMET D.O.O., ZAGREB</v>
      </c>
      <c r="I227" s="2"/>
      <c r="J227" s="1"/>
      <c r="K227" s="2"/>
    </row>
    <row r="228" spans="1:11" ht="47.25" x14ac:dyDescent="0.25">
      <c r="A228" s="1" t="str">
        <f>"224/2012"</f>
        <v>224/2012</v>
      </c>
      <c r="B228" s="1" t="s">
        <v>14</v>
      </c>
      <c r="C228" s="1" t="s">
        <v>1599</v>
      </c>
      <c r="D228" s="1" t="str">
        <f>CONCATENATE("EV-605-009/2011",CHAR(10),"N-02-V-135248-090911 od 12.09.2011.")</f>
        <v>EV-605-009/2011
N-02-V-135248-090911 od 12.09.2011.</v>
      </c>
      <c r="E228" s="1" t="s">
        <v>15</v>
      </c>
      <c r="F228" s="1" t="str">
        <f>"4.390.000,00"</f>
        <v>4.390.000,00</v>
      </c>
      <c r="G228" s="1" t="str">
        <f>CONCATENATE("16.04.2012.",CHAR(10),"120 dana, računajući od dana uvođenja u posao")</f>
        <v>16.04.2012.
120 dana, računajući od dana uvođenja u posao</v>
      </c>
      <c r="H228" s="1" t="str">
        <f>CONCATENATE("PRESOFLEX GRADNJA D.O.O., POŽEGA")</f>
        <v>PRESOFLEX GRADNJA D.O.O., POŽEGA</v>
      </c>
      <c r="I228" s="2"/>
      <c r="J228" s="1"/>
      <c r="K228" s="2"/>
    </row>
    <row r="229" spans="1:11" ht="78.75" x14ac:dyDescent="0.25">
      <c r="A229" s="1" t="str">
        <f>"225/2012"</f>
        <v>225/2012</v>
      </c>
      <c r="B229" s="1" t="s">
        <v>136</v>
      </c>
      <c r="C229" s="1" t="s">
        <v>1600</v>
      </c>
      <c r="D229" s="1" t="str">
        <f>CONCATENATE("EV-822-012/2011",CHAR(10),"N-02-V-100577-090112 od 10.01.2011.")</f>
        <v>EV-822-012/2011
N-02-V-100577-090112 od 10.01.2011.</v>
      </c>
      <c r="E229" s="1" t="s">
        <v>97</v>
      </c>
      <c r="F229" s="1" t="str">
        <f>"1.129.560,00"</f>
        <v>1.129.560,00</v>
      </c>
      <c r="G229" s="1" t="str">
        <f>CONCATENATE("16.04.2012.",CHAR(10),"2 godine")</f>
        <v>16.04.2012.
2 godine</v>
      </c>
      <c r="H229" s="1" t="str">
        <f>CONCATENATE("ZLATNA CIPELICA, OBRT ZA TRGOVINU, PRIJEVOZ I IZNAJMLJIVANJE, ZAGREB")</f>
        <v>ZLATNA CIPELICA, OBRT ZA TRGOVINU, PRIJEVOZ I IZNAJMLJIVANJE, ZAGREB</v>
      </c>
      <c r="I229" s="2"/>
      <c r="J229" s="1"/>
      <c r="K229" s="2"/>
    </row>
    <row r="230" spans="1:11" ht="47.25" x14ac:dyDescent="0.25">
      <c r="A230" s="1" t="str">
        <f>"226/2012"</f>
        <v>226/2012</v>
      </c>
      <c r="B230" s="1" t="s">
        <v>56</v>
      </c>
      <c r="C230" s="1" t="s">
        <v>1601</v>
      </c>
      <c r="D230" s="1" t="str">
        <f>"EV-417-012/2011"</f>
        <v>EV-417-012/2011</v>
      </c>
      <c r="E230" s="2"/>
      <c r="F230" s="1" t="str">
        <f>"0,00"</f>
        <v>0,00</v>
      </c>
      <c r="G230" s="1" t="str">
        <f>"18.04.2012."</f>
        <v>18.04.2012.</v>
      </c>
      <c r="H230" s="1" t="str">
        <f>CONCATENATE("GAMONT D.O.O., ZAGREB")</f>
        <v>GAMONT D.O.O., ZAGREB</v>
      </c>
      <c r="I230" s="2"/>
      <c r="J230" s="1"/>
      <c r="K230" s="2"/>
    </row>
    <row r="231" spans="1:11" ht="47.25" x14ac:dyDescent="0.25">
      <c r="A231" s="1" t="str">
        <f>"227/2012"</f>
        <v>227/2012</v>
      </c>
      <c r="B231" s="1" t="s">
        <v>56</v>
      </c>
      <c r="C231" s="1" t="s">
        <v>1602</v>
      </c>
      <c r="D231" s="1" t="str">
        <f>"EV-471-012/2011"</f>
        <v>EV-471-012/2011</v>
      </c>
      <c r="E231" s="2"/>
      <c r="F231" s="1" t="str">
        <f>"0,00"</f>
        <v>0,00</v>
      </c>
      <c r="G231" s="1" t="str">
        <f>"18.04.2012."</f>
        <v>18.04.2012.</v>
      </c>
      <c r="H231" s="1" t="str">
        <f>CONCATENATE("G.P.P. MIKIĆ D.O.O., OMIŠALJ")</f>
        <v>G.P.P. MIKIĆ D.O.O., OMIŠALJ</v>
      </c>
      <c r="I231" s="2"/>
      <c r="J231" s="1"/>
      <c r="K231" s="2"/>
    </row>
    <row r="232" spans="1:11" ht="78.75" x14ac:dyDescent="0.25">
      <c r="A232" s="1" t="str">
        <f>"228/2012"</f>
        <v>228/2012</v>
      </c>
      <c r="B232" s="1" t="s">
        <v>11</v>
      </c>
      <c r="C232" s="1" t="s">
        <v>1603</v>
      </c>
      <c r="D232" s="1" t="str">
        <f>"EM-961-022/2011"</f>
        <v>EM-961-022/2011</v>
      </c>
      <c r="E232" s="2"/>
      <c r="F232" s="1" t="str">
        <f>"0,00"</f>
        <v>0,00</v>
      </c>
      <c r="G232" s="1" t="str">
        <f>CONCATENATE("19.04.2012.",CHAR(10),"do 01. svibnja 2012")</f>
        <v>19.04.2012.
do 01. svibnja 2012</v>
      </c>
      <c r="H232" s="1" t="str">
        <f>CONCATENATE("STEGA TISAK D.O.O, ZAGREB")</f>
        <v>STEGA TISAK D.O.O, ZAGREB</v>
      </c>
      <c r="I232" s="2"/>
      <c r="J232" s="1"/>
      <c r="K232" s="2"/>
    </row>
    <row r="233" spans="1:11" ht="63" x14ac:dyDescent="0.25">
      <c r="A233" s="1" t="str">
        <f>"229/2012"</f>
        <v>229/2012</v>
      </c>
      <c r="B233" s="1" t="s">
        <v>14</v>
      </c>
      <c r="C233" s="1" t="s">
        <v>1604</v>
      </c>
      <c r="D233" s="1" t="str">
        <f>CONCATENATE("EM-626-012/2011",CHAR(10),"N-16-M-137137-230911 od 26.09.2011.")</f>
        <v>EM-626-012/2011
N-16-M-137137-230911 od 26.09.2011.</v>
      </c>
      <c r="E233" s="1" t="s">
        <v>15</v>
      </c>
      <c r="F233" s="1" t="str">
        <f>"218.500,00"</f>
        <v>218.500,00</v>
      </c>
      <c r="G233" s="1" t="str">
        <f>CONCATENATE("20.04.2012.",CHAR(10),"12 mjeseci")</f>
        <v>20.04.2012.
12 mjeseci</v>
      </c>
      <c r="H233" s="1" t="str">
        <f>CONCATENATE("GEOAQUA D.O.O., ZAGREB")</f>
        <v>GEOAQUA D.O.O., ZAGREB</v>
      </c>
      <c r="I233" s="1" t="s">
        <v>24</v>
      </c>
      <c r="J233" s="1" t="str">
        <f>CONCATENATE(SUBSTITUTE(SUBSTITUTE(SUBSTITUTE("273,125.01",".","-"),",","."),"-",","),CHAR(10),"konačno plaćeni iznos veći je od ugovorenog radi promjene stope PDV-a")</f>
        <v>273.125,01
konačno plaćeni iznos veći je od ugovorenog radi promjene stope PDV-a</v>
      </c>
      <c r="K233" s="2"/>
    </row>
    <row r="234" spans="1:11" ht="78.75" x14ac:dyDescent="0.25">
      <c r="A234" s="1" t="str">
        <f>"230/2012"</f>
        <v>230/2012</v>
      </c>
      <c r="B234" s="1" t="s">
        <v>11</v>
      </c>
      <c r="C234" s="1" t="s">
        <v>1605</v>
      </c>
      <c r="D234" s="1" t="str">
        <f>"EV-543-013/2010"</f>
        <v>EV-543-013/2010</v>
      </c>
      <c r="E234" s="2"/>
      <c r="F234" s="1" t="str">
        <f>"0,00"</f>
        <v>0,00</v>
      </c>
      <c r="G234" s="1" t="str">
        <f>CONCATENATE("15.03.2012.",CHAR(10),"do sklapanja novog")</f>
        <v>15.03.2012.
do sklapanja novog</v>
      </c>
      <c r="H234" s="1" t="str">
        <f>CONCATENATE("SOKOL MARIĆ D.O.O., ZAGREB")</f>
        <v>SOKOL MARIĆ D.O.O., ZAGREB</v>
      </c>
      <c r="I234" s="1" t="s">
        <v>137</v>
      </c>
      <c r="J234" s="1" t="str">
        <f>SUBSTITUTE(SUBSTITUTE(SUBSTITUTE("1,146,107.06",".","-"),",","."),"-",",")</f>
        <v>1.146.107,06</v>
      </c>
      <c r="K234" s="2"/>
    </row>
    <row r="235" spans="1:11" ht="63" x14ac:dyDescent="0.25">
      <c r="A235" s="1" t="str">
        <f>"231/2012"</f>
        <v>231/2012</v>
      </c>
      <c r="B235" s="1" t="s">
        <v>14</v>
      </c>
      <c r="C235" s="1" t="s">
        <v>1606</v>
      </c>
      <c r="D235" s="1" t="str">
        <f>CONCATENATE("EV-995-012/2011",CHAR(10),"N-02-V-102643-270112 od 30.01.2012.")</f>
        <v>EV-995-012/2011
N-02-V-102643-270112 od 30.01.2012.</v>
      </c>
      <c r="E235" s="1" t="s">
        <v>15</v>
      </c>
      <c r="F235" s="1" t="str">
        <f>"1.489.299,80"</f>
        <v>1.489.299,80</v>
      </c>
      <c r="G235" s="1" t="str">
        <f>CONCATENATE("23.04.2012.",CHAR(10),"120 dana od dana uvođenja u posao")</f>
        <v>23.04.2012.
120 dana od dana uvođenja u posao</v>
      </c>
      <c r="H235" s="1" t="str">
        <f>CONCATENATE("KBB KARDUM, ZAGREB")</f>
        <v>KBB KARDUM, ZAGREB</v>
      </c>
      <c r="I235" s="1" t="s">
        <v>138</v>
      </c>
      <c r="J235" s="1" t="str">
        <f>CONCATENATE(SUBSTITUTE(SUBSTITUTE(SUBSTITUTE("1,860,547.59",".","-"),",","."),"-",","),CHAR(10),"konačno plaćeni iznos veći je od ugovorenog radi promjene stope PDV-a")</f>
        <v>1.860.547,59
konačno plaćeni iznos veći je od ugovorenog radi promjene stope PDV-a</v>
      </c>
      <c r="K235" s="2"/>
    </row>
    <row r="236" spans="1:11" ht="63" x14ac:dyDescent="0.25">
      <c r="A236" s="1" t="str">
        <f>"232/2012"</f>
        <v>232/2012</v>
      </c>
      <c r="B236" s="1" t="s">
        <v>56</v>
      </c>
      <c r="C236" s="1" t="s">
        <v>1607</v>
      </c>
      <c r="D236" s="1" t="str">
        <f>"EV-195-012/2011"</f>
        <v>EV-195-012/2011</v>
      </c>
      <c r="E236" s="2"/>
      <c r="F236" s="1" t="str">
        <f>"0,00"</f>
        <v>0,00</v>
      </c>
      <c r="G236" s="1" t="str">
        <f>"25.04.2012."</f>
        <v>25.04.2012.</v>
      </c>
      <c r="H236" s="1" t="str">
        <f>CONCATENATE("GAMONT D.O.O., ZAGREB")</f>
        <v>GAMONT D.O.O., ZAGREB</v>
      </c>
      <c r="I236" s="2"/>
      <c r="J236" s="1"/>
      <c r="K236" s="2"/>
    </row>
    <row r="237" spans="1:11" ht="63" x14ac:dyDescent="0.25">
      <c r="A237" s="1" t="str">
        <f>"233/2012"</f>
        <v>233/2012</v>
      </c>
      <c r="B237" s="1" t="s">
        <v>14</v>
      </c>
      <c r="C237" s="1" t="s">
        <v>1608</v>
      </c>
      <c r="D237" s="1" t="str">
        <f>CONCATENATE("EV-758-012/2011",CHAR(10),"N-02-V-148764-151211 od 16.12.2011.")</f>
        <v>EV-758-012/2011
N-02-V-148764-151211 od 16.12.2011.</v>
      </c>
      <c r="E237" s="1" t="s">
        <v>15</v>
      </c>
      <c r="F237" s="1" t="str">
        <f>"504.720,90"</f>
        <v>504.720,90</v>
      </c>
      <c r="G237" s="1" t="str">
        <f>CONCATENATE("25.04.2012.",CHAR(10),"60 dana")</f>
        <v>25.04.2012.
60 dana</v>
      </c>
      <c r="H237" s="1" t="str">
        <f>CONCATENATE("P.G.P. D.O.O., ZAGREB",CHAR(10),"GEO-INFORMATIČKI STUDIO D.O.O., ZAGREB")</f>
        <v>P.G.P. D.O.O., ZAGREB
GEO-INFORMATIČKI STUDIO D.O.O., ZAGREB</v>
      </c>
      <c r="I237" s="1" t="s">
        <v>36</v>
      </c>
      <c r="J237" s="1" t="str">
        <f>CONCATENATE(SUBSTITUTE(SUBSTITUTE(SUBSTITUTE("630,821.86",".","-"),",","."),"-",","),CHAR(10),"konačno plaćeni iznos veći je od ugovorenog radi promjene stope PDV-a")</f>
        <v>630.821,86
konačno plaćeni iznos veći je od ugovorenog radi promjene stope PDV-a</v>
      </c>
      <c r="K237" s="2"/>
    </row>
    <row r="238" spans="1:11" ht="47.25" x14ac:dyDescent="0.25">
      <c r="A238" s="1" t="str">
        <f>"234/2012"</f>
        <v>234/2012</v>
      </c>
      <c r="B238" s="1" t="s">
        <v>14</v>
      </c>
      <c r="C238" s="1" t="s">
        <v>1609</v>
      </c>
      <c r="D238" s="1" t="str">
        <f>CONCATENATE("EM-735-012/2011",CHAR(10),"N-16-M-149650-201211 od 21.12.2011.")</f>
        <v>EM-735-012/2011
N-16-M-149650-201211 od 21.12.2011.</v>
      </c>
      <c r="E238" s="1" t="s">
        <v>15</v>
      </c>
      <c r="F238" s="1" t="str">
        <f>"89.315,92"</f>
        <v>89.315,92</v>
      </c>
      <c r="G238" s="1" t="str">
        <f>CONCATENATE("25.04.2012.",CHAR(10),"28 dana od dana uvođenja u posao")</f>
        <v>25.04.2012.
28 dana od dana uvođenja u posao</v>
      </c>
      <c r="H238" s="1" t="str">
        <f>CONCATENATE("P.G.P. D.O.O., ZAGREB",CHAR(10),"GEO-INFORMATIČKI STUDIO D.O.O., ZAGREB")</f>
        <v>P.G.P. D.O.O., ZAGREB
GEO-INFORMATIČKI STUDIO D.O.O., ZAGREB</v>
      </c>
      <c r="I238" s="2"/>
      <c r="J238" s="1"/>
      <c r="K238" s="2"/>
    </row>
    <row r="239" spans="1:11" ht="47.25" x14ac:dyDescent="0.25">
      <c r="A239" s="1" t="str">
        <f>"235/2012"</f>
        <v>235/2012</v>
      </c>
      <c r="B239" s="1" t="s">
        <v>11</v>
      </c>
      <c r="C239" s="1" t="s">
        <v>1610</v>
      </c>
      <c r="D239" s="1" t="str">
        <f>"EV-506-009/2011"</f>
        <v>EV-506-009/2011</v>
      </c>
      <c r="E239" s="2"/>
      <c r="F239" s="1" t="str">
        <f>"0,00"</f>
        <v>0,00</v>
      </c>
      <c r="G239" s="1" t="str">
        <f>CONCATENATE("02.05.2012.",CHAR(10),"do 04. svibnja 2012.")</f>
        <v>02.05.2012.
do 04. svibnja 2012.</v>
      </c>
      <c r="H239" s="1" t="str">
        <f>CONCATENATE("HM-PATRIA D.O.O., ZAGREB")</f>
        <v>HM-PATRIA D.O.O., ZAGREB</v>
      </c>
      <c r="I239" s="2"/>
      <c r="J239" s="1"/>
      <c r="K239" s="2"/>
    </row>
    <row r="240" spans="1:11" ht="63" x14ac:dyDescent="0.25">
      <c r="A240" s="1" t="str">
        <f>"236/2012"</f>
        <v>236/2012</v>
      </c>
      <c r="B240" s="1" t="s">
        <v>56</v>
      </c>
      <c r="C240" s="1" t="s">
        <v>1611</v>
      </c>
      <c r="D240" s="1" t="str">
        <f>"EV-286-012/2011"</f>
        <v>EV-286-012/2011</v>
      </c>
      <c r="E240" s="2"/>
      <c r="F240" s="1" t="str">
        <f>"0,00"</f>
        <v>0,00</v>
      </c>
      <c r="G240" s="1" t="str">
        <f>"04.05.2012."</f>
        <v>04.05.2012.</v>
      </c>
      <c r="H240" s="1" t="str">
        <f>CONCATENATE("GAMONT D.O.O., ZAGREB")</f>
        <v>GAMONT D.O.O., ZAGREB</v>
      </c>
      <c r="I240" s="2"/>
      <c r="J240" s="1"/>
      <c r="K240" s="2"/>
    </row>
    <row r="241" spans="1:11" ht="47.25" x14ac:dyDescent="0.25">
      <c r="A241" s="1" t="str">
        <f>"237/2012"</f>
        <v>237/2012</v>
      </c>
      <c r="B241" s="1" t="s">
        <v>14</v>
      </c>
      <c r="C241" s="1" t="s">
        <v>1612</v>
      </c>
      <c r="D241" s="1" t="str">
        <f>CONCATENATE("EV-997-012/2012",CHAR(10),"N-02-V-102625-270112 od 30.01.2012.")</f>
        <v>EV-997-012/2012
N-02-V-102625-270112 od 30.01.2012.</v>
      </c>
      <c r="E241" s="1" t="s">
        <v>15</v>
      </c>
      <c r="F241" s="1" t="str">
        <f>"2.895.690,00"</f>
        <v>2.895.690,00</v>
      </c>
      <c r="G241" s="1" t="str">
        <f>CONCATENATE("04.05.2012.",CHAR(10),"50 dana, računajući od dana uvođenja u posao")</f>
        <v>04.05.2012.
50 dana, računajući od dana uvođenja u posao</v>
      </c>
      <c r="H241" s="1" t="str">
        <f>CONCATENATE("KBB KARDUM, ZAGREB")</f>
        <v>KBB KARDUM, ZAGREB</v>
      </c>
      <c r="I241" s="2"/>
      <c r="J241" s="1"/>
      <c r="K241" s="2"/>
    </row>
    <row r="242" spans="1:11" ht="63" x14ac:dyDescent="0.25">
      <c r="A242" s="1" t="str">
        <f>"238/2012"</f>
        <v>238/2012</v>
      </c>
      <c r="B242" s="1" t="s">
        <v>14</v>
      </c>
      <c r="C242" s="1" t="s">
        <v>1613</v>
      </c>
      <c r="D242" s="1" t="str">
        <f>CONCATENATE("EV-815/012/2011",CHAR(10),"N-02-V-146795-021211 od 05.12.2011.")</f>
        <v>EV-815/012/2011
N-02-V-146795-021211 od 05.12.2011.</v>
      </c>
      <c r="E242" s="1" t="s">
        <v>15</v>
      </c>
      <c r="F242" s="1" t="str">
        <f>"2.270.205,00"</f>
        <v>2.270.205,00</v>
      </c>
      <c r="G242" s="1" t="str">
        <f>CONCATENATE("11.05.2012.",CHAR(10),"270 dana")</f>
        <v>11.05.2012.
270 dana</v>
      </c>
      <c r="H242" s="1" t="str">
        <f>CONCATENATE("M. SOLDO D.O.O., ZAGREB",CHAR(10),"GEOGIS D.O.O., ZAGREB")</f>
        <v>M. SOLDO D.O.O., ZAGREB
GEOGIS D.O.O., ZAGREB</v>
      </c>
      <c r="I242" s="1" t="s">
        <v>24</v>
      </c>
      <c r="J242" s="1" t="str">
        <f>CONCATENATE(SUBSTITUTE(SUBSTITUTE(SUBSTITUTE("2,837,124.03",".","-"),",","."),"-",","),CHAR(10),"konačno plaćeni iznos veći je od ugovorenog radi promjene stope PDV-a")</f>
        <v>2.837.124,03
konačno plaćeni iznos veći je od ugovorenog radi promjene stope PDV-a</v>
      </c>
      <c r="K242" s="2"/>
    </row>
    <row r="243" spans="1:11" ht="47.25" x14ac:dyDescent="0.25">
      <c r="A243" s="1" t="str">
        <f>"239/2012"</f>
        <v>239/2012</v>
      </c>
      <c r="B243" s="1" t="s">
        <v>14</v>
      </c>
      <c r="C243" s="1" t="s">
        <v>1614</v>
      </c>
      <c r="D243" s="1" t="str">
        <f>CONCATENATE("EM-801-012/2011",CHAR(10),"N-16-M-150676-231211 od 27.12.2011.")</f>
        <v>EM-801-012/2011
N-16-M-150676-231211 od 27.12.2011.</v>
      </c>
      <c r="E243" s="1" t="s">
        <v>15</v>
      </c>
      <c r="F243" s="1" t="str">
        <f>"136.511,96"</f>
        <v>136.511,96</v>
      </c>
      <c r="G243" s="1" t="str">
        <f>CONCATENATE("14.05.2012.",CHAR(10),"30 dana od dana uvođenja u posao")</f>
        <v>14.05.2012.
30 dana od dana uvođenja u posao</v>
      </c>
      <c r="H243" s="1" t="str">
        <f>CONCATENATE("PUGAR D.O.O., VELIKA GORICA",CHAR(10),"GEOMETAR D.O.O., ZAGREB")</f>
        <v>PUGAR D.O.O., VELIKA GORICA
GEOMETAR D.O.O., ZAGREB</v>
      </c>
      <c r="I243" s="2"/>
      <c r="J243" s="1"/>
      <c r="K243" s="2"/>
    </row>
    <row r="244" spans="1:11" ht="63" x14ac:dyDescent="0.25">
      <c r="A244" s="1" t="str">
        <f>"240/2012"</f>
        <v>240/2012</v>
      </c>
      <c r="B244" s="1" t="s">
        <v>136</v>
      </c>
      <c r="C244" s="1" t="s">
        <v>1615</v>
      </c>
      <c r="D244" s="1" t="str">
        <f>CONCATENATE("EV-814/2011",CHAR(10),"N-02-V-150923-271211 od 28.12.2011.")</f>
        <v>EV-814/2011
N-02-V-150923-271211 od 28.12.2011.</v>
      </c>
      <c r="E244" s="1" t="s">
        <v>139</v>
      </c>
      <c r="F244" s="1" t="str">
        <f>"5.384.034,00"</f>
        <v>5.384.034,00</v>
      </c>
      <c r="G244" s="1" t="str">
        <f>CONCATENATE("15.05.2012.",CHAR(10),"4 godine")</f>
        <v>15.05.2012.
4 godine</v>
      </c>
      <c r="H244" s="1" t="str">
        <f>CONCATENATE("ZAGREBAČKE PEKARNE KLARA D.D., ZAGREB",CHAR(10),"MLIN I PEKARE D.O.O., SISAK",CHAR(10),"ŽITOPROIZVOD D.D., KARLOVAC")</f>
        <v>ZAGREBAČKE PEKARNE KLARA D.D., ZAGREB
MLIN I PEKARE D.O.O., SISAK
ŽITOPROIZVOD D.D., KARLOVAC</v>
      </c>
      <c r="I244" s="2"/>
      <c r="J244" s="1"/>
      <c r="K244" s="2"/>
    </row>
    <row r="245" spans="1:11" ht="47.25" x14ac:dyDescent="0.25">
      <c r="A245" s="1" t="str">
        <f>"241/2012"</f>
        <v>241/2012</v>
      </c>
      <c r="B245" s="1" t="s">
        <v>14</v>
      </c>
      <c r="C245" s="1" t="s">
        <v>1616</v>
      </c>
      <c r="D245" s="1" t="str">
        <f>CONCATENATE("857-2012-EMV",CHAR(10),"2012/S-002-0005975 od 21.03.2012.")</f>
        <v>857-2012-EMV
2012/S-002-0005975 od 21.03.2012.</v>
      </c>
      <c r="E245" s="1" t="s">
        <v>15</v>
      </c>
      <c r="F245" s="1" t="str">
        <f>"98.035,00"</f>
        <v>98.035,00</v>
      </c>
      <c r="G245" s="1" t="str">
        <f>CONCATENATE("15.05.2012.",CHAR(10),"20 dana, računajući od dana uvođenja u posao")</f>
        <v>15.05.2012.
20 dana, računajući od dana uvođenja u posao</v>
      </c>
      <c r="H245" s="1" t="str">
        <f>CONCATENATE("GIP PIONIR D.O.O., ZAGREB")</f>
        <v>GIP PIONIR D.O.O., ZAGREB</v>
      </c>
      <c r="I245" s="2"/>
      <c r="J245" s="1"/>
      <c r="K245" s="2"/>
    </row>
    <row r="246" spans="1:11" ht="47.25" x14ac:dyDescent="0.25">
      <c r="A246" s="1" t="str">
        <f>"242/2012"</f>
        <v>242/2012</v>
      </c>
      <c r="B246" s="1" t="s">
        <v>11</v>
      </c>
      <c r="C246" s="1" t="s">
        <v>1617</v>
      </c>
      <c r="D246" s="1" t="str">
        <f>"EV-540-012/2011"</f>
        <v>EV-540-012/2011</v>
      </c>
      <c r="E246" s="2"/>
      <c r="F246" s="1" t="str">
        <f>"0,00"</f>
        <v>0,00</v>
      </c>
      <c r="G246" s="1" t="str">
        <f>CONCATENATE("16.05.2012.",CHAR(10),"istovjetan osnovnom ugovoru i I. aneksu")</f>
        <v>16.05.2012.
istovjetan osnovnom ugovoru i I. aneksu</v>
      </c>
      <c r="H246" s="1" t="str">
        <f>CONCATENATE("TIM - GRADNJA D.O.O., ZAGREB")</f>
        <v>TIM - GRADNJA D.O.O., ZAGREB</v>
      </c>
      <c r="I246" s="2"/>
      <c r="J246" s="1"/>
      <c r="K246" s="2"/>
    </row>
    <row r="247" spans="1:11" ht="78.75" x14ac:dyDescent="0.25">
      <c r="A247" s="1" t="str">
        <f>"243/2012"</f>
        <v>243/2012</v>
      </c>
      <c r="B247" s="1" t="s">
        <v>14</v>
      </c>
      <c r="C247" s="1" t="s">
        <v>1618</v>
      </c>
      <c r="D247" s="1" t="str">
        <f>CONCATENATE("856-2012-EMV",CHAR(10),"2012/S-002-0005912 od 21.03.2012.")</f>
        <v>856-2012-EMV
2012/S-002-0005912 od 21.03.2012.</v>
      </c>
      <c r="E247" s="1" t="s">
        <v>15</v>
      </c>
      <c r="F247" s="1" t="str">
        <f>"49.440,00"</f>
        <v>49.440,00</v>
      </c>
      <c r="G247" s="1" t="str">
        <f>CONCATENATE("16.05.2012.",CHAR(10),"20 dana, računajući od dana uvođenja u posao")</f>
        <v>16.05.2012.
20 dana, računajući od dana uvođenja u posao</v>
      </c>
      <c r="H247" s="1" t="str">
        <f>CONCATENATE("GIP PIONIR D.O.O., ZAGREB",CHAR(10),"C.I.A.K. D.O.O., ZAGREB")</f>
        <v>GIP PIONIR D.O.O., ZAGREB
C.I.A.K. D.O.O., ZAGREB</v>
      </c>
      <c r="I247" s="2"/>
      <c r="J247" s="1"/>
      <c r="K247" s="2"/>
    </row>
    <row r="248" spans="1:11" ht="47.25" x14ac:dyDescent="0.25">
      <c r="A248" s="1" t="str">
        <f>"244/2012"</f>
        <v>244/2012</v>
      </c>
      <c r="B248" s="1" t="s">
        <v>11</v>
      </c>
      <c r="C248" s="1" t="s">
        <v>1619</v>
      </c>
      <c r="D248" s="1" t="str">
        <f>CONCATENATE("831-2012-EMV",CHAR(10),"2012/S 015-0016184 od 03.05.2012.")</f>
        <v>831-2012-EMV
2012/S 015-0016184 od 03.05.2012.</v>
      </c>
      <c r="E248" s="1" t="s">
        <v>12</v>
      </c>
      <c r="F248" s="1" t="str">
        <f>"102.900,00"</f>
        <v>102.900,00</v>
      </c>
      <c r="G248" s="1" t="str">
        <f>CONCATENATE("18.05.2012.",CHAR(10),"45 dana")</f>
        <v>18.05.2012.
45 dana</v>
      </c>
      <c r="H248" s="1" t="str">
        <f>CONCATENATE("P.G.P. D.O.O., ZAGREB")</f>
        <v>P.G.P. D.O.O., ZAGREB</v>
      </c>
      <c r="I248" s="1" t="s">
        <v>140</v>
      </c>
      <c r="J248" s="1" t="str">
        <f>SUBSTITUTE(SUBSTITUTE(SUBSTITUTE("128,625.00",".","-"),",","."),"-",",")</f>
        <v>128.625,00</v>
      </c>
      <c r="K248" s="2"/>
    </row>
    <row r="249" spans="1:11" ht="47.25" x14ac:dyDescent="0.25">
      <c r="A249" s="1" t="str">
        <f>"245/2012"</f>
        <v>245/2012</v>
      </c>
      <c r="B249" s="1" t="s">
        <v>14</v>
      </c>
      <c r="C249" s="1" t="s">
        <v>1620</v>
      </c>
      <c r="D249" s="1" t="str">
        <f>CONCATENATE("3-2012-EMV",CHAR(10),"2012/S 002-0005666 od 20.03.2012.")</f>
        <v>3-2012-EMV
2012/S 002-0005666 od 20.03.2012.</v>
      </c>
      <c r="E249" s="1" t="s">
        <v>15</v>
      </c>
      <c r="F249" s="1" t="str">
        <f>"283.510,00"</f>
        <v>283.510,00</v>
      </c>
      <c r="G249" s="1" t="str">
        <f>CONCATENATE("23.05.2012.",CHAR(10),"12 mjeseci od dana obostranog potpisa Ugovora")</f>
        <v>23.05.2012.
12 mjeseci od dana obostranog potpisa Ugovora</v>
      </c>
      <c r="H249" s="1" t="str">
        <f>CONCATENATE("ADRIA GASTRO D.O.O., ZAGREB")</f>
        <v>ADRIA GASTRO D.O.O., ZAGREB</v>
      </c>
      <c r="I249" s="1" t="s">
        <v>141</v>
      </c>
      <c r="J249" s="1" t="str">
        <f>SUBSTITUTE(SUBSTITUTE(SUBSTITUTE("247,545.50",".","-"),",","."),"-",",")</f>
        <v>247.545,50</v>
      </c>
      <c r="K249" s="2"/>
    </row>
    <row r="250" spans="1:11" ht="78.75" x14ac:dyDescent="0.25">
      <c r="A250" s="1" t="str">
        <f>"246/2012"</f>
        <v>246/2012</v>
      </c>
      <c r="B250" s="1" t="s">
        <v>14</v>
      </c>
      <c r="C250" s="1" t="s">
        <v>1621</v>
      </c>
      <c r="D250" s="1" t="str">
        <f>CONCATENATE("132-2012-EVV",CHAR(10),"2012/S-002-0006620 od 23.03.2012.")</f>
        <v>132-2012-EVV
2012/S-002-0006620 od 23.03.2012.</v>
      </c>
      <c r="E250" s="1" t="s">
        <v>15</v>
      </c>
      <c r="F250" s="1" t="str">
        <f>"4.093.695,00"</f>
        <v>4.093.695,00</v>
      </c>
      <c r="G250" s="1" t="str">
        <f>CONCATENATE("25.05.2012.",CHAR(10),"isporuka robe odmah po potpisu ugovora te će se isporučivati u razdoblju od 12 mjeseci")</f>
        <v>25.05.2012.
isporuka robe odmah po potpisu ugovora te će se isporučivati u razdoblju od 12 mjeseci</v>
      </c>
      <c r="H250" s="1" t="str">
        <f>CONCATENATE("EBC SISTEMI D.O.O., ZAGREB")</f>
        <v>EBC SISTEMI D.O.O., ZAGREB</v>
      </c>
      <c r="I250" s="1" t="s">
        <v>142</v>
      </c>
      <c r="J250" s="1" t="str">
        <f>SUBSTITUTE(SUBSTITUTE(SUBSTITUTE("5,117,118.75",".","-"),",","."),"-",",")</f>
        <v>5.117.118,75</v>
      </c>
      <c r="K250" s="2"/>
    </row>
    <row r="251" spans="1:11" ht="47.25" x14ac:dyDescent="0.25">
      <c r="A251" s="1" t="str">
        <f>"247/2012"</f>
        <v>247/2012</v>
      </c>
      <c r="B251" s="1" t="s">
        <v>11</v>
      </c>
      <c r="C251" s="1" t="s">
        <v>1622</v>
      </c>
      <c r="D251" s="1" t="str">
        <f>"EV-469-009/2011"</f>
        <v>EV-469-009/2011</v>
      </c>
      <c r="E251" s="2"/>
      <c r="F251" s="1" t="str">
        <f>"0,00"</f>
        <v>0,00</v>
      </c>
      <c r="G251" s="1" t="str">
        <f>CONCATENATE("28.05.2012.",CHAR(10),"u svemu vrijede odredbe osnovnog Ugovora")</f>
        <v>28.05.2012.
u svemu vrijede odredbe osnovnog Ugovora</v>
      </c>
      <c r="H251" s="1" t="str">
        <f>CONCATENATE("TEH-GRADNJA D.O.O., ZAGREB")</f>
        <v>TEH-GRADNJA D.O.O., ZAGREB</v>
      </c>
      <c r="I251" s="2"/>
      <c r="J251" s="1"/>
      <c r="K251" s="2"/>
    </row>
    <row r="252" spans="1:11" ht="63" x14ac:dyDescent="0.25">
      <c r="A252" s="1" t="str">
        <f>"248/2012"</f>
        <v>248/2012</v>
      </c>
      <c r="B252" s="1" t="s">
        <v>14</v>
      </c>
      <c r="C252" s="1" t="s">
        <v>1623</v>
      </c>
      <c r="D252" s="1" t="str">
        <f>CONCATENATE("490-2012-EVV",CHAR(10),"2012/S 002-0005431 od 20.03.2012.")</f>
        <v>490-2012-EVV
2012/S 002-0005431 od 20.03.2012.</v>
      </c>
      <c r="E252" s="1" t="s">
        <v>15</v>
      </c>
      <c r="F252" s="1" t="str">
        <f>"1.917.758,76"</f>
        <v>1.917.758,76</v>
      </c>
      <c r="G252" s="1" t="str">
        <f>CONCATENATE("30.05.2012.",CHAR(10),"od dana obostranog potpisa ovog Ugovora do kraja 2012. god.")</f>
        <v>30.05.2012.
od dana obostranog potpisa ovog Ugovora do kraja 2012. god.</v>
      </c>
      <c r="H252" s="1" t="str">
        <f>CONCATENATE("EKO-DERATIZACIJA D.O.O., ZAGREB",CHAR(10),"SANITACIJA D.D., ZAGREB")</f>
        <v>EKO-DERATIZACIJA D.O.O., ZAGREB
SANITACIJA D.D., ZAGREB</v>
      </c>
      <c r="I252" s="1" t="s">
        <v>80</v>
      </c>
      <c r="J252" s="1" t="str">
        <f>SUBSTITUTE(SUBSTITUTE(SUBSTITUTE("2,397,198.45",".","-"),",","."),"-",",")</f>
        <v>2.397.198,45</v>
      </c>
      <c r="K252" s="2"/>
    </row>
    <row r="253" spans="1:11" ht="47.25" x14ac:dyDescent="0.25">
      <c r="A253" s="1" t="str">
        <f>"249/2012"</f>
        <v>249/2012</v>
      </c>
      <c r="B253" s="1" t="s">
        <v>14</v>
      </c>
      <c r="C253" s="1" t="s">
        <v>1624</v>
      </c>
      <c r="D253" s="1" t="str">
        <f>"1742-2012-EBV"</f>
        <v>1742-2012-EBV</v>
      </c>
      <c r="E253" s="1" t="s">
        <v>40</v>
      </c>
      <c r="F253" s="1" t="str">
        <f>"69.060,00"</f>
        <v>69.060,00</v>
      </c>
      <c r="G253" s="1" t="str">
        <f>CONCATENATE("31.05.2012.",CHAR(10),"12 mjeseci od dana obostranog potpisa ugovora")</f>
        <v>31.05.2012.
12 mjeseci od dana obostranog potpisa ugovora</v>
      </c>
      <c r="H253" s="1" t="str">
        <f>CONCATENATE("HRVATSKA IZVJEŠTAJNA NOVINSKA AGENCIJA, HINA, ZAGREB")</f>
        <v>HRVATSKA IZVJEŠTAJNA NOVINSKA AGENCIJA, HINA, ZAGREB</v>
      </c>
      <c r="I253" s="1" t="s">
        <v>143</v>
      </c>
      <c r="J253" s="1" t="str">
        <f>SUBSTITUTE(SUBSTITUTE(SUBSTITUTE("79,196.11",".","-"),",","."),"-",",")</f>
        <v>79.196,11</v>
      </c>
      <c r="K253" s="2"/>
    </row>
    <row r="254" spans="1:11" ht="78.75" x14ac:dyDescent="0.25">
      <c r="A254" s="1" t="str">
        <f>"250/2012"</f>
        <v>250/2012</v>
      </c>
      <c r="B254" s="1" t="s">
        <v>26</v>
      </c>
      <c r="C254" s="1" t="s">
        <v>144</v>
      </c>
      <c r="D254" s="1" t="str">
        <f>CONCATENATE("EV-822-012/2011",CHAR(10),"N-02-V-100577-090112")</f>
        <v>EV-822-012/2011
N-02-V-100577-090112</v>
      </c>
      <c r="E254" s="1" t="s">
        <v>97</v>
      </c>
      <c r="F254" s="1" t="str">
        <f>"564.780,00"</f>
        <v>564.780,00</v>
      </c>
      <c r="G254" s="1" t="str">
        <f>CONCATENATE("31.05.2012.",CHAR(10),"1 godina od dana obostranog potpisa Ugovora")</f>
        <v>31.05.2012.
1 godina od dana obostranog potpisa Ugovora</v>
      </c>
      <c r="H254" s="1" t="str">
        <f>CONCATENATE("ZLATNA CIPELICA, OBRT ZA TRGOVINU, PRIJEVOZ I IZNAJMLJIVANJE, ZAGREB")</f>
        <v>ZLATNA CIPELICA, OBRT ZA TRGOVINU, PRIJEVOZ I IZNAJMLJIVANJE, ZAGREB</v>
      </c>
      <c r="I254" s="2"/>
      <c r="J254" s="1"/>
      <c r="K254" s="2"/>
    </row>
    <row r="255" spans="1:11" ht="47.25" x14ac:dyDescent="0.25">
      <c r="A255" s="1" t="str">
        <f>"251/2012"</f>
        <v>251/2012</v>
      </c>
      <c r="B255" s="1" t="s">
        <v>14</v>
      </c>
      <c r="C255" s="1" t="s">
        <v>1625</v>
      </c>
      <c r="D255" s="1" t="str">
        <f>CONCATENATE("795-2012-EMV",CHAR(10),"2012/S 002-0006693 od 23.03.2012.")</f>
        <v>795-2012-EMV
2012/S 002-0006693 od 23.03.2012.</v>
      </c>
      <c r="E255" s="1" t="s">
        <v>15</v>
      </c>
      <c r="F255" s="1" t="str">
        <f>"247.000,00"</f>
        <v>247.000,00</v>
      </c>
      <c r="G255" s="1" t="str">
        <f>CONCATENATE("01.06.2012.",CHAR(10),"30 dana, računajući od dana uvođenja u posao")</f>
        <v>01.06.2012.
30 dana, računajući od dana uvođenja u posao</v>
      </c>
      <c r="H255" s="1" t="str">
        <f>CONCATENATE("SPEKTAR GRADNJA D.O.O., ZAGREB",CHAR(10),"LIFT MODUS D.O.O., ZAGREB")</f>
        <v>SPEKTAR GRADNJA D.O.O., ZAGREB
LIFT MODUS D.O.O., ZAGREB</v>
      </c>
      <c r="I255" s="2"/>
      <c r="J255" s="1"/>
      <c r="K255" s="2"/>
    </row>
    <row r="256" spans="1:11" ht="47.25" x14ac:dyDescent="0.25">
      <c r="A256" s="1" t="str">
        <f>"252/2012"</f>
        <v>252/2012</v>
      </c>
      <c r="B256" s="1" t="s">
        <v>14</v>
      </c>
      <c r="C256" s="1" t="s">
        <v>1626</v>
      </c>
      <c r="D256" s="1" t="str">
        <f>CONCATENATE("EV-697-012/2011",CHAR(10),"N-02-V-144337-181111 od 21.11.2011.")</f>
        <v>EV-697-012/2011
N-02-V-144337-181111 od 21.11.2011.</v>
      </c>
      <c r="E256" s="1" t="s">
        <v>15</v>
      </c>
      <c r="F256" s="1" t="str">
        <f>"359.000,00"</f>
        <v>359.000,00</v>
      </c>
      <c r="G256" s="1" t="str">
        <f>CONCATENATE("05.06.2012.",CHAR(10),"60 dana od dana obostranog potpisa Ugovora")</f>
        <v>05.06.2012.
60 dana od dana obostranog potpisa Ugovora</v>
      </c>
      <c r="H256" s="1" t="str">
        <f>CONCATENATE("MAŠINOPROJEKT D.O.O., ZAGREB",CHAR(10),"GEO 6 D.O.O, ZAGREB-SUSEDGRAD")</f>
        <v>MAŠINOPROJEKT D.O.O., ZAGREB
GEO 6 D.O.O, ZAGREB-SUSEDGRAD</v>
      </c>
      <c r="I256" s="2"/>
      <c r="J256" s="1"/>
      <c r="K256" s="2"/>
    </row>
    <row r="257" spans="1:11" ht="47.25" x14ac:dyDescent="0.25">
      <c r="A257" s="1" t="str">
        <f>"253/2012"</f>
        <v>253/2012</v>
      </c>
      <c r="B257" s="1" t="s">
        <v>11</v>
      </c>
      <c r="C257" s="1" t="s">
        <v>1627</v>
      </c>
      <c r="D257" s="1" t="str">
        <f>"EV-190-012/2011"</f>
        <v>EV-190-012/2011</v>
      </c>
      <c r="E257" s="2"/>
      <c r="F257" s="1" t="str">
        <f>"0,00"</f>
        <v>0,00</v>
      </c>
      <c r="G257" s="1" t="str">
        <f>CONCATENATE("05.06.2012.",CHAR(10),"ugovorene radove izvesti do 23. srpnja 2012.")</f>
        <v>05.06.2012.
ugovorene radove izvesti do 23. srpnja 2012.</v>
      </c>
      <c r="H257" s="1" t="str">
        <f>CONCATENATE("TA-GRAD D.O.O., ZAGREB")</f>
        <v>TA-GRAD D.O.O., ZAGREB</v>
      </c>
      <c r="I257" s="2"/>
      <c r="J257" s="1"/>
      <c r="K257" s="2"/>
    </row>
    <row r="258" spans="1:11" ht="47.25" x14ac:dyDescent="0.25">
      <c r="A258" s="1" t="str">
        <f>"254/2012"</f>
        <v>254/2012</v>
      </c>
      <c r="B258" s="1" t="s">
        <v>14</v>
      </c>
      <c r="C258" s="1" t="s">
        <v>1628</v>
      </c>
      <c r="D258" s="1" t="str">
        <f>CONCATENATE("797-2012-EMV",CHAR(10),"2012/S 002-0006436 od 22.03.2012.")</f>
        <v>797-2012-EMV
2012/S 002-0006436 od 22.03.2012.</v>
      </c>
      <c r="E258" s="1" t="s">
        <v>15</v>
      </c>
      <c r="F258" s="1" t="str">
        <f>"112.003,00"</f>
        <v>112.003,00</v>
      </c>
      <c r="G258" s="1" t="str">
        <f>CONCATENATE("05.06.2012.",CHAR(10),"30 dana")</f>
        <v>05.06.2012.
30 dana</v>
      </c>
      <c r="H258" s="1" t="str">
        <f>CONCATENATE("TIM - GRADNJA D.O.O., ZAGREB")</f>
        <v>TIM - GRADNJA D.O.O., ZAGREB</v>
      </c>
      <c r="I258" s="1" t="s">
        <v>145</v>
      </c>
      <c r="J258" s="1" t="str">
        <f>SUBSTITUTE(SUBSTITUTE(SUBSTITUTE("106,781.43",".","-"),",","."),"-",",")</f>
        <v>106.781,43</v>
      </c>
      <c r="K258" s="2"/>
    </row>
    <row r="259" spans="1:11" ht="63" x14ac:dyDescent="0.25">
      <c r="A259" s="1" t="str">
        <f>"255/2012"</f>
        <v>255/2012</v>
      </c>
      <c r="B259" s="1" t="s">
        <v>14</v>
      </c>
      <c r="C259" s="1" t="s">
        <v>1629</v>
      </c>
      <c r="D259" s="1" t="str">
        <f>CONCATENATE("887-2012-EMV",CHAR(10),"2012/S 002-0007825 od 28.03.2012.")</f>
        <v>887-2012-EMV
2012/S 002-0007825 od 28.03.2012.</v>
      </c>
      <c r="E259" s="1" t="s">
        <v>15</v>
      </c>
      <c r="F259" s="1" t="str">
        <f>"4.698.726,10"</f>
        <v>4.698.726,10</v>
      </c>
      <c r="G259" s="1" t="str">
        <f>CONCATENATE("05.06.2012.",CHAR(10),"tijekom 2012 godine")</f>
        <v>05.06.2012.
tijekom 2012 godine</v>
      </c>
      <c r="H259" s="1" t="str">
        <f>CONCATENATE("CESTODOM D.O.O., ZAGREB",CHAR(10),"CRTORAD D.O.O., VARAŽDIN")</f>
        <v>CESTODOM D.O.O., ZAGREB
CRTORAD D.O.O., VARAŽDIN</v>
      </c>
      <c r="I259" s="1" t="s">
        <v>146</v>
      </c>
      <c r="J259" s="1" t="str">
        <f>SUBSTITUTE(SUBSTITUTE(SUBSTITUTE("5,873,407.62",".","-"),",","."),"-",",")</f>
        <v>5.873.407,62</v>
      </c>
      <c r="K259" s="2"/>
    </row>
    <row r="260" spans="1:11" ht="63" x14ac:dyDescent="0.25">
      <c r="A260" s="1" t="str">
        <f>"256/2012"</f>
        <v>256/2012</v>
      </c>
      <c r="B260" s="1" t="s">
        <v>14</v>
      </c>
      <c r="C260" s="1" t="s">
        <v>1630</v>
      </c>
      <c r="D260" s="1" t="str">
        <f>CONCATENATE("EV-972-012/2011",CHAR(10),"N-02-V-148381-131211 od 14.12.2011.")</f>
        <v>EV-972-012/2011
N-02-V-148381-131211 od 14.12.2011.</v>
      </c>
      <c r="E260" s="1" t="s">
        <v>15</v>
      </c>
      <c r="F260" s="1" t="str">
        <f>"88.390,00"</f>
        <v>88.390,00</v>
      </c>
      <c r="G260" s="1" t="str">
        <f>CONCATENATE("08.06.2012.",CHAR(10),"30 dana")</f>
        <v>08.06.2012.
30 dana</v>
      </c>
      <c r="H260" s="1" t="str">
        <f>CONCATENATE("GEODATA PROJEKT D.O.O., ZAGREB")</f>
        <v>GEODATA PROJEKT D.O.O., ZAGREB</v>
      </c>
      <c r="I260" s="1" t="s">
        <v>99</v>
      </c>
      <c r="J260" s="1" t="str">
        <f>CONCATENATE(SUBSTITUTE(SUBSTITUTE(SUBSTITUTE("110,487.50",".","-"),",","."),"-",","),CHAR(10),"konačno plaćeni iznos veći je od ugovorenog radi promjene stope PDV-a")</f>
        <v>110.487,50
konačno plaćeni iznos veći je od ugovorenog radi promjene stope PDV-a</v>
      </c>
      <c r="K260" s="2"/>
    </row>
    <row r="261" spans="1:11" ht="47.25" x14ac:dyDescent="0.25">
      <c r="A261" s="1" t="str">
        <f>"257/2012"</f>
        <v>257/2012</v>
      </c>
      <c r="B261" s="1" t="s">
        <v>56</v>
      </c>
      <c r="C261" s="1" t="s">
        <v>1631</v>
      </c>
      <c r="D261" s="1" t="str">
        <f>"EM-486-005/2011"</f>
        <v>EM-486-005/2011</v>
      </c>
      <c r="E261" s="2"/>
      <c r="F261" s="1" t="str">
        <f>"0,00"</f>
        <v>0,00</v>
      </c>
      <c r="G261" s="1" t="str">
        <f>"11.06.2012."</f>
        <v>11.06.2012.</v>
      </c>
      <c r="H261" s="1" t="str">
        <f>CONCATENATE("TEMEX D.O.O., ZAGREB")</f>
        <v>TEMEX D.O.O., ZAGREB</v>
      </c>
      <c r="I261" s="2"/>
      <c r="J261" s="1"/>
      <c r="K261" s="2"/>
    </row>
    <row r="262" spans="1:11" ht="78.75" x14ac:dyDescent="0.25">
      <c r="A262" s="1" t="str">
        <f>"258/2012"</f>
        <v>258/2012</v>
      </c>
      <c r="B262" s="1" t="s">
        <v>136</v>
      </c>
      <c r="C262" s="1" t="s">
        <v>1632</v>
      </c>
      <c r="D262" s="1" t="str">
        <f>CONCATENATE("130-2012-EVV",CHAR(10),"2012/S-002-0007715 od 28.03.2012.")</f>
        <v>130-2012-EVV
2012/S-002-0007715 od 28.03.2012.</v>
      </c>
      <c r="E262" s="1" t="s">
        <v>97</v>
      </c>
      <c r="F262" s="1" t="str">
        <f>"11.024.832,00"</f>
        <v>11.024.832,00</v>
      </c>
      <c r="G262" s="1" t="str">
        <f>CONCATENATE("12.06.2012.",CHAR(10),"2 godine")</f>
        <v>12.06.2012.
2 godine</v>
      </c>
      <c r="H262" s="1" t="str">
        <f>CONCATENATE("STORM COMPUTERS D.O.O., ZAGREB",CHAR(10),"EBC SISTEMI D.O.O., ZAGREB")</f>
        <v>STORM COMPUTERS D.O.O., ZAGREB
EBC SISTEMI D.O.O., ZAGREB</v>
      </c>
      <c r="I262" s="1" t="s">
        <v>147</v>
      </c>
      <c r="J262" s="1" t="str">
        <f>SUBSTITUTE(SUBSTITUTE(SUBSTITUTE("13,780,876.05",".","-"),",","."),"-",",")</f>
        <v>13.780.876,05</v>
      </c>
      <c r="K262" s="2"/>
    </row>
    <row r="263" spans="1:11" ht="47.25" x14ac:dyDescent="0.25">
      <c r="A263" s="1" t="str">
        <f>"259/2012"</f>
        <v>259/2012</v>
      </c>
      <c r="B263" s="1" t="s">
        <v>11</v>
      </c>
      <c r="C263" s="1" t="s">
        <v>1633</v>
      </c>
      <c r="D263" s="1" t="str">
        <f>CONCATENATE("EM-949-012/2011",CHAR(10),"N-32-M-105787-080312 od 09.03.2012.")</f>
        <v>EM-949-012/2011
N-32-M-105787-080312 od 09.03.2012.</v>
      </c>
      <c r="E263" s="1" t="s">
        <v>12</v>
      </c>
      <c r="F263" s="1" t="str">
        <f>"280.000,00"</f>
        <v>280.000,00</v>
      </c>
      <c r="G263" s="1" t="str">
        <f>CONCATENATE("13.06.2012.",CHAR(10),"u roku od 30 dana od dana uvođenja u posao")</f>
        <v>13.06.2012.
u roku od 30 dana od dana uvođenja u posao</v>
      </c>
      <c r="H263" s="1" t="str">
        <f>CONCATENATE("ŠUŠKOVIĆ-GRAĐENJE D.O.O., ZAGREB")</f>
        <v>ŠUŠKOVIĆ-GRAĐENJE D.O.O., ZAGREB</v>
      </c>
      <c r="I263" s="1" t="s">
        <v>91</v>
      </c>
      <c r="J263" s="1" t="str">
        <f>SUBSTITUTE(SUBSTITUTE(SUBSTITUTE("350,000.00",".","-"),",","."),"-",",")</f>
        <v>350.000,00</v>
      </c>
      <c r="K263" s="2"/>
    </row>
    <row r="264" spans="1:11" ht="63" x14ac:dyDescent="0.25">
      <c r="A264" s="1" t="str">
        <f>"260/2012"</f>
        <v>260/2012</v>
      </c>
      <c r="B264" s="1" t="s">
        <v>11</v>
      </c>
      <c r="C264" s="1" t="s">
        <v>1634</v>
      </c>
      <c r="D264" s="1" t="str">
        <f>"EM-96-018/2011"</f>
        <v>EM-96-018/2011</v>
      </c>
      <c r="E264" s="2"/>
      <c r="F264" s="1" t="str">
        <f>"0,00"</f>
        <v>0,00</v>
      </c>
      <c r="G264" s="1" t="str">
        <f>CONCATENATE("14.06.2012.",CHAR(10),"do sklapanja novog ugovora")</f>
        <v>14.06.2012.
do sklapanja novog ugovora</v>
      </c>
      <c r="H264" s="1" t="str">
        <f>CONCATENATE("URIHO - USTANOVA ZA PROFESIONALNU REHABILITACIJU I ZAPOŠLJAVANJE OSOBA S INVALIDITETOM, ZAGREB")</f>
        <v>URIHO - USTANOVA ZA PROFESIONALNU REHABILITACIJU I ZAPOŠLJAVANJE OSOBA S INVALIDITETOM, ZAGREB</v>
      </c>
      <c r="I264" s="2"/>
      <c r="J264" s="1"/>
      <c r="K264" s="2"/>
    </row>
    <row r="265" spans="1:11" ht="47.25" x14ac:dyDescent="0.25">
      <c r="A265" s="1" t="str">
        <f>"261/2012"</f>
        <v>261/2012</v>
      </c>
      <c r="B265" s="1" t="s">
        <v>11</v>
      </c>
      <c r="C265" s="1" t="s">
        <v>1635</v>
      </c>
      <c r="D265" s="1" t="str">
        <f>"EM-951-022/2011"</f>
        <v>EM-951-022/2011</v>
      </c>
      <c r="E265" s="2"/>
      <c r="F265" s="1" t="str">
        <f>"0,00"</f>
        <v>0,00</v>
      </c>
      <c r="G265" s="1" t="str">
        <f>CONCATENATE("15.06.2012.",CHAR(10),"do 10. lipnja 2012.")</f>
        <v>15.06.2012.
do 10. lipnja 2012.</v>
      </c>
      <c r="H265" s="1" t="str">
        <f>CONCATENATE("BRODARSKI INSTITUT D.O.O., ZAGREB-NOVI ZAGREB")</f>
        <v>BRODARSKI INSTITUT D.O.O., ZAGREB-NOVI ZAGREB</v>
      </c>
      <c r="I265" s="2"/>
      <c r="J265" s="1"/>
      <c r="K265" s="2"/>
    </row>
    <row r="266" spans="1:11" ht="47.25" x14ac:dyDescent="0.25">
      <c r="A266" s="1" t="str">
        <f>"262/2012"</f>
        <v>262/2012</v>
      </c>
      <c r="B266" s="1" t="s">
        <v>14</v>
      </c>
      <c r="C266" s="1" t="s">
        <v>1636</v>
      </c>
      <c r="D266" s="1" t="str">
        <f>CONCATENATE("799-2012-EMV",CHAR(10),"2012/S 002-0007301 od 27.03.2012.")</f>
        <v>799-2012-EMV
2012/S 002-0007301 od 27.03.2012.</v>
      </c>
      <c r="E266" s="1" t="s">
        <v>15</v>
      </c>
      <c r="F266" s="1" t="str">
        <f>"222.619,00"</f>
        <v>222.619,00</v>
      </c>
      <c r="G266" s="1" t="str">
        <f>CONCATENATE("15.06.2012.",CHAR(10),"2 mjeseca")</f>
        <v>15.06.2012.
2 mjeseca</v>
      </c>
      <c r="H266" s="1" t="str">
        <f>CONCATENATE("TIM-COLOR D.O.O., ZAGREB")</f>
        <v>TIM-COLOR D.O.O., ZAGREB</v>
      </c>
      <c r="I266" s="1" t="s">
        <v>148</v>
      </c>
      <c r="J266" s="1" t="str">
        <f>SUBSTITUTE(SUBSTITUTE(SUBSTITUTE("278,273.11",".","-"),",","."),"-",",")</f>
        <v>278.273,11</v>
      </c>
      <c r="K266" s="2"/>
    </row>
    <row r="267" spans="1:11" ht="63" x14ac:dyDescent="0.25">
      <c r="A267" s="1" t="str">
        <f>"263/2012"</f>
        <v>263/2012</v>
      </c>
      <c r="B267" s="1" t="s">
        <v>11</v>
      </c>
      <c r="C267" s="1" t="s">
        <v>1637</v>
      </c>
      <c r="D267" s="1" t="str">
        <f>"EV-251-012/2011"</f>
        <v>EV-251-012/2011</v>
      </c>
      <c r="E267" s="2"/>
      <c r="F267" s="1" t="str">
        <f>"0,00"</f>
        <v>0,00</v>
      </c>
      <c r="G267" s="1" t="str">
        <f>CONCATENATE("15.06.2012.",CHAR(10),"do 12. rujna 2012.")</f>
        <v>15.06.2012.
do 12. rujna 2012.</v>
      </c>
      <c r="H267" s="1" t="str">
        <f>CONCATENATE("SVEUČILIŠTE U ZAGREBU FAKULTET PROMETNIH ZNANOSTI, ZAGREB")</f>
        <v>SVEUČILIŠTE U ZAGREBU FAKULTET PROMETNIH ZNANOSTI, ZAGREB</v>
      </c>
      <c r="I267" s="2"/>
      <c r="J267" s="1"/>
      <c r="K267" s="2"/>
    </row>
    <row r="268" spans="1:11" ht="47.25" x14ac:dyDescent="0.25">
      <c r="A268" s="1" t="str">
        <f>"264/2012"</f>
        <v>264/2012</v>
      </c>
      <c r="B268" s="1" t="s">
        <v>56</v>
      </c>
      <c r="C268" s="1" t="s">
        <v>1638</v>
      </c>
      <c r="D268" s="1" t="str">
        <f>"EV-194-012/2011"</f>
        <v>EV-194-012/2011</v>
      </c>
      <c r="E268" s="2"/>
      <c r="F268" s="1" t="str">
        <f>"0,00"</f>
        <v>0,00</v>
      </c>
      <c r="G268" s="1" t="str">
        <f>"19.06.2012."</f>
        <v>19.06.2012.</v>
      </c>
      <c r="H268" s="1" t="str">
        <f>CONCATENATE("M. SOLDO D.O.O., ZAGREB")</f>
        <v>M. SOLDO D.O.O., ZAGREB</v>
      </c>
      <c r="I268" s="2"/>
      <c r="J268" s="1"/>
      <c r="K268" s="2"/>
    </row>
    <row r="269" spans="1:11" ht="78.75" x14ac:dyDescent="0.25">
      <c r="A269" s="1" t="str">
        <f>"265/2012"</f>
        <v>265/2012</v>
      </c>
      <c r="B269" s="1" t="s">
        <v>14</v>
      </c>
      <c r="C269" s="1" t="s">
        <v>1639</v>
      </c>
      <c r="D269" s="1" t="str">
        <f>CONCATENATE("119-2012-EMV",CHAR(10),"2012/S 002-0013971 od 25.04.2012.")</f>
        <v>119-2012-EMV
2012/S 002-0013971 od 25.04.2012.</v>
      </c>
      <c r="E269" s="1" t="s">
        <v>15</v>
      </c>
      <c r="F269" s="1" t="str">
        <f>"99.596,10"</f>
        <v>99.596,10</v>
      </c>
      <c r="G269" s="1" t="str">
        <f>CONCATENATE("21.06.2012.",CHAR(10),"isporuka sukcesivno prema pisanim nalozima Naručitelja od dana obostranog potpisa Ugovora")</f>
        <v>21.06.2012.
isporuka sukcesivno prema pisanim nalozima Naručitelja od dana obostranog potpisa Ugovora</v>
      </c>
      <c r="H269" s="1" t="str">
        <f>CONCATENATE("MARINO-LUČKO D.O.O., LUČKO")</f>
        <v>MARINO-LUČKO D.O.O., LUČKO</v>
      </c>
      <c r="I269" s="1" t="s">
        <v>149</v>
      </c>
      <c r="J269" s="1" t="str">
        <f>SUBSTITUTE(SUBSTITUTE(SUBSTITUTE("124,495.13",".","-"),",","."),"-",",")</f>
        <v>124.495,13</v>
      </c>
      <c r="K269" s="2"/>
    </row>
    <row r="270" spans="1:11" ht="47.25" x14ac:dyDescent="0.25">
      <c r="A270" s="1" t="str">
        <f>"266/2012"</f>
        <v>266/2012</v>
      </c>
      <c r="B270" s="1" t="s">
        <v>14</v>
      </c>
      <c r="C270" s="1" t="s">
        <v>1640</v>
      </c>
      <c r="D270" s="1" t="str">
        <f>CONCATENATE("867-2012-EMV",CHAR(10),"2012/S-002-0010166 od 05.04.2012.")</f>
        <v>867-2012-EMV
2012/S-002-0010166 od 05.04.2012.</v>
      </c>
      <c r="E270" s="1" t="s">
        <v>15</v>
      </c>
      <c r="F270" s="1" t="str">
        <f>"6.454.501,28"</f>
        <v>6.454.501,28</v>
      </c>
      <c r="G270" s="1" t="str">
        <f>CONCATENATE("21.06.2012.",CHAR(10),"60 dana, računajući od dana uvođenja u posao")</f>
        <v>21.06.2012.
60 dana, računajući od dana uvođenja u posao</v>
      </c>
      <c r="H270" s="1" t="str">
        <f>CONCATENATE("HIDROCOMMERCE D.O.O., GORNJI STUPNIK")</f>
        <v>HIDROCOMMERCE D.O.O., GORNJI STUPNIK</v>
      </c>
      <c r="I270" s="2"/>
      <c r="J270" s="1"/>
      <c r="K270" s="2"/>
    </row>
    <row r="271" spans="1:11" ht="94.5" x14ac:dyDescent="0.25">
      <c r="A271" s="1" t="str">
        <f>"267/2012"</f>
        <v>267/2012</v>
      </c>
      <c r="B271" s="1" t="s">
        <v>14</v>
      </c>
      <c r="C271" s="1" t="s">
        <v>1641</v>
      </c>
      <c r="D271" s="1" t="str">
        <f>CONCATENATE("838-2012-EMV",CHAR(10),"2012/S 002-0007411 od 27.03.2012.")</f>
        <v>838-2012-EMV
2012/S 002-0007411 od 27.03.2012.</v>
      </c>
      <c r="E271" s="1" t="s">
        <v>15</v>
      </c>
      <c r="F271" s="1" t="str">
        <f>"12.813.398,44"</f>
        <v>12.813.398,44</v>
      </c>
      <c r="G271" s="1" t="str">
        <f>CONCATENATE("21.06.2012.",CHAR(10),"75 dana , računajući od dana uvođenja u posao")</f>
        <v>21.06.2012.
75 dana , računajući od dana uvođenja u posao</v>
      </c>
      <c r="H271" s="1" t="str">
        <f>CONCATENATE("HIDROCOMMERCE D.O.O., GORNJI STUPNIK")</f>
        <v>HIDROCOMMERCE D.O.O., GORNJI STUPNIK</v>
      </c>
      <c r="I271" s="1" t="s">
        <v>150</v>
      </c>
      <c r="J271" s="1" t="str">
        <f>SUBSTITUTE(SUBSTITUTE(SUBSTITUTE("15,882,435.64",".","-"),",","."),"-",",")</f>
        <v>15.882.435,64</v>
      </c>
      <c r="K271" s="2"/>
    </row>
    <row r="272" spans="1:11" ht="47.25" x14ac:dyDescent="0.25">
      <c r="A272" s="1" t="str">
        <f>"268/2012"</f>
        <v>268/2012</v>
      </c>
      <c r="B272" s="1" t="s">
        <v>14</v>
      </c>
      <c r="C272" s="1" t="s">
        <v>1642</v>
      </c>
      <c r="D272" s="1" t="str">
        <f>CONCATENATE("834-2012-EMV",CHAR(10),"2012/S 002-0005652 od 20.03.2012.")</f>
        <v>834-2012-EMV
2012/S 002-0005652 od 20.03.2012.</v>
      </c>
      <c r="E272" s="1" t="s">
        <v>15</v>
      </c>
      <c r="F272" s="1" t="str">
        <f>"347.500,00"</f>
        <v>347.500,00</v>
      </c>
      <c r="G272" s="1" t="str">
        <f>CONCATENATE("26.06.2012.",CHAR(10),"60 dana, računajući od dana obostranog potpisa Ugovora")</f>
        <v>26.06.2012.
60 dana, računajući od dana obostranog potpisa Ugovora</v>
      </c>
      <c r="H272" s="1" t="str">
        <f>CONCATENATE("INSTITUT IGH D.D., ZAGREB")</f>
        <v>INSTITUT IGH D.D., ZAGREB</v>
      </c>
      <c r="I272" s="2"/>
      <c r="J272" s="1"/>
      <c r="K272" s="2"/>
    </row>
    <row r="273" spans="1:11" ht="63" x14ac:dyDescent="0.25">
      <c r="A273" s="1" t="str">
        <f>"269/2012"</f>
        <v>269/2012</v>
      </c>
      <c r="B273" s="1" t="s">
        <v>14</v>
      </c>
      <c r="C273" s="1" t="s">
        <v>1643</v>
      </c>
      <c r="D273" s="1" t="str">
        <f>CONCATENATE("489-2012-EVV",CHAR(10),"2012/S 002-0005371 od 19.03.2012.")</f>
        <v>489-2012-EVV
2012/S 002-0005371 od 19.03.2012.</v>
      </c>
      <c r="E273" s="1" t="s">
        <v>15</v>
      </c>
      <c r="F273" s="1" t="str">
        <f>"904.116,00"</f>
        <v>904.116,00</v>
      </c>
      <c r="G273" s="1" t="str">
        <f>CONCATENATE("27.06.2012.",CHAR(10),"tijekom 2012. godine, od obostanog potpisa Ugovora do kraja 2012.")</f>
        <v>27.06.2012.
tijekom 2012. godine, od obostanog potpisa Ugovora do kraja 2012.</v>
      </c>
      <c r="H273" s="1" t="str">
        <f>CONCATENATE("ID EKO D.O.O., ZAGREB")</f>
        <v>ID EKO D.O.O., ZAGREB</v>
      </c>
      <c r="I273" s="1" t="s">
        <v>80</v>
      </c>
      <c r="J273" s="1" t="str">
        <f>SUBSTITUTE(SUBSTITUTE(SUBSTITUTE("1,130,145.00",".","-"),",","."),"-",",")</f>
        <v>1.130.145,00</v>
      </c>
      <c r="K273" s="2"/>
    </row>
    <row r="274" spans="1:11" ht="63" x14ac:dyDescent="0.25">
      <c r="A274" s="1" t="str">
        <f>"270/2012"</f>
        <v>270/2012</v>
      </c>
      <c r="B274" s="1" t="s">
        <v>14</v>
      </c>
      <c r="C274" s="1" t="s">
        <v>1644</v>
      </c>
      <c r="D274" s="1" t="str">
        <f>CONCATENATE("489-2012-EVV",CHAR(10),"2012/S 002-0005371 od 19.03.2012.")</f>
        <v>489-2012-EVV
2012/S 002-0005371 od 19.03.2012.</v>
      </c>
      <c r="E274" s="1" t="s">
        <v>15</v>
      </c>
      <c r="F274" s="1" t="str">
        <f>"1.282.846,32"</f>
        <v>1.282.846,32</v>
      </c>
      <c r="G274" s="1" t="str">
        <f>CONCATENATE("27.06.2012.",CHAR(10),"tijekom 2012. godine, od dana obostranog potpisa Ugovora do kraja 2012.")</f>
        <v>27.06.2012.
tijekom 2012. godine, od dana obostranog potpisa Ugovora do kraja 2012.</v>
      </c>
      <c r="H274" s="1" t="str">
        <f>CONCATENATE("SANITACIJA D.D., ZAGREB")</f>
        <v>SANITACIJA D.D., ZAGREB</v>
      </c>
      <c r="I274" s="1" t="s">
        <v>80</v>
      </c>
      <c r="J274" s="1" t="str">
        <f>SUBSTITUTE(SUBSTITUTE(SUBSTITUTE("1,602,332.90",".","-"),",","."),"-",",")</f>
        <v>1.602.332,90</v>
      </c>
      <c r="K274" s="2"/>
    </row>
    <row r="275" spans="1:11" ht="63" x14ac:dyDescent="0.25">
      <c r="A275" s="1" t="str">
        <f>"271/2012"</f>
        <v>271/2012</v>
      </c>
      <c r="B275" s="1" t="s">
        <v>14</v>
      </c>
      <c r="C275" s="1" t="s">
        <v>1645</v>
      </c>
      <c r="D275" s="1" t="str">
        <f>CONCATENATE("489-2012-EVV",CHAR(10),"2012/S 002-0005371 od 19.03.2012.")</f>
        <v>489-2012-EVV
2012/S 002-0005371 od 19.03.2012.</v>
      </c>
      <c r="E275" s="1" t="s">
        <v>15</v>
      </c>
      <c r="F275" s="1" t="str">
        <f>"882.482,98"</f>
        <v>882.482,98</v>
      </c>
      <c r="G275" s="1" t="str">
        <f>CONCATENATE("27.06.2012.",CHAR(10),"tijekom 2012. godine, od dana obostranog potpisa  Ugovora do kraja 2012. godine")</f>
        <v>27.06.2012.
tijekom 2012. godine, od dana obostranog potpisa  Ugovora do kraja 2012. godine</v>
      </c>
      <c r="H275" s="1" t="str">
        <f>CONCATENATE("ADRIA SERVIS D.O.O., ZAGREB",CHAR(10),"CIJANIZACIJA D.O.O, ZAGREB")</f>
        <v>ADRIA SERVIS D.O.O., ZAGREB
CIJANIZACIJA D.O.O, ZAGREB</v>
      </c>
      <c r="I275" s="1" t="s">
        <v>80</v>
      </c>
      <c r="J275" s="1" t="str">
        <f>SUBSTITUTE(SUBSTITUTE(SUBSTITUTE("1,100,216.25",".","-"),",","."),"-",",")</f>
        <v>1.100.216,25</v>
      </c>
      <c r="K275" s="2"/>
    </row>
    <row r="276" spans="1:11" ht="63" x14ac:dyDescent="0.25">
      <c r="A276" s="1" t="str">
        <f>"272/2012"</f>
        <v>272/2012</v>
      </c>
      <c r="B276" s="1" t="s">
        <v>14</v>
      </c>
      <c r="C276" s="1" t="s">
        <v>1646</v>
      </c>
      <c r="D276" s="1" t="str">
        <f>CONCATENATE("489-2012-EVV",CHAR(10),"2012/S 002-0005371 od 19.03.2012.")</f>
        <v>489-2012-EVV
2012/S 002-0005371 od 19.03.2012.</v>
      </c>
      <c r="E276" s="1" t="s">
        <v>15</v>
      </c>
      <c r="F276" s="1" t="str">
        <f>"1.460.158,50"</f>
        <v>1.460.158,50</v>
      </c>
      <c r="G276" s="1" t="str">
        <f>CONCATENATE("27.06.2012.",CHAR(10),"tijekom 2012. godine, od dana obostranog potpisa Ugovora do kraja 2012. godine")</f>
        <v>27.06.2012.
tijekom 2012. godine, od dana obostranog potpisa Ugovora do kraja 2012. godine</v>
      </c>
      <c r="H276" s="1" t="str">
        <f>CONCATENATE("EKO-DERATIZACIJA D.O.O., ZAGREB")</f>
        <v>EKO-DERATIZACIJA D.O.O., ZAGREB</v>
      </c>
      <c r="I276" s="1" t="s">
        <v>80</v>
      </c>
      <c r="J276" s="1" t="str">
        <f>SUBSTITUTE(SUBSTITUTE(SUBSTITUTE("1,761,726.59",".","-"),",","."),"-",",")</f>
        <v>1.761.726,59</v>
      </c>
      <c r="K276" s="2"/>
    </row>
    <row r="277" spans="1:11" ht="47.25" x14ac:dyDescent="0.25">
      <c r="A277" s="1" t="str">
        <f>"273/2012"</f>
        <v>273/2012</v>
      </c>
      <c r="B277" s="1" t="s">
        <v>56</v>
      </c>
      <c r="C277" s="1" t="s">
        <v>1647</v>
      </c>
      <c r="D277" s="1" t="str">
        <f>"EM-370-005/2011"</f>
        <v>EM-370-005/2011</v>
      </c>
      <c r="E277" s="2"/>
      <c r="F277" s="1" t="str">
        <f>"0,00"</f>
        <v>0,00</v>
      </c>
      <c r="G277" s="1" t="str">
        <f>"27.06.2012."</f>
        <v>27.06.2012.</v>
      </c>
      <c r="H277" s="1" t="str">
        <f>CONCATENATE("GEORAD D.O.O., ZAGREB")</f>
        <v>GEORAD D.O.O., ZAGREB</v>
      </c>
      <c r="I277" s="2"/>
      <c r="J277" s="1"/>
      <c r="K277" s="2"/>
    </row>
    <row r="278" spans="1:11" ht="63" x14ac:dyDescent="0.25">
      <c r="A278" s="1" t="str">
        <f>"274/2012"</f>
        <v>274/2012</v>
      </c>
      <c r="B278" s="1" t="s">
        <v>14</v>
      </c>
      <c r="C278" s="1" t="s">
        <v>1648</v>
      </c>
      <c r="D278" s="1" t="str">
        <f>CONCATENATE("489-2012-EVV",CHAR(10),"2012/S 002-0005371 od 19.03.2012.")</f>
        <v>489-2012-EVV
2012/S 002-0005371 od 19.03.2012.</v>
      </c>
      <c r="E278" s="1" t="s">
        <v>15</v>
      </c>
      <c r="F278" s="1" t="str">
        <f>"1.539.712,00"</f>
        <v>1.539.712,00</v>
      </c>
      <c r="G278" s="1" t="str">
        <f>CONCATENATE("27.06.2012.",CHAR(10),"tijekom 2012. godine, od dana obostranog potpisa Ugovora do kraja 2012. godine")</f>
        <v>27.06.2012.
tijekom 2012. godine, od dana obostranog potpisa Ugovora do kraja 2012. godine</v>
      </c>
      <c r="H278" s="1" t="str">
        <f>CONCATENATE("EKOTOURS D.O.O., ZAGREB")</f>
        <v>EKOTOURS D.O.O., ZAGREB</v>
      </c>
      <c r="I278" s="1" t="s">
        <v>80</v>
      </c>
      <c r="J278" s="1" t="str">
        <f>SUBSTITUTE(SUBSTITUTE(SUBSTITUTE("1,900,133.45",".","-"),",","."),"-",",")</f>
        <v>1.900.133,45</v>
      </c>
      <c r="K278" s="2"/>
    </row>
    <row r="279" spans="1:11" ht="47.25" x14ac:dyDescent="0.25">
      <c r="A279" s="1" t="str">
        <f>"275/2012"</f>
        <v>275/2012</v>
      </c>
      <c r="B279" s="1" t="s">
        <v>11</v>
      </c>
      <c r="C279" s="1" t="s">
        <v>1649</v>
      </c>
      <c r="D279" s="1" t="str">
        <f>"EM-175-005/2011"</f>
        <v>EM-175-005/2011</v>
      </c>
      <c r="E279" s="2"/>
      <c r="F279" s="1" t="str">
        <f>"0,00"</f>
        <v>0,00</v>
      </c>
      <c r="G279" s="1" t="str">
        <f>CONCATENATE("28.06.2012.",CHAR(10),"do 31. prosinca 2012.")</f>
        <v>28.06.2012.
do 31. prosinca 2012.</v>
      </c>
      <c r="H279" s="1" t="str">
        <f>CONCATENATE("NEVING D.O.O., ZAGREB")</f>
        <v>NEVING D.O.O., ZAGREB</v>
      </c>
      <c r="I279" s="2"/>
      <c r="J279" s="1"/>
      <c r="K279" s="2"/>
    </row>
    <row r="280" spans="1:11" ht="63" x14ac:dyDescent="0.25">
      <c r="A280" s="1" t="str">
        <f>"276/2012"</f>
        <v>276/2012</v>
      </c>
      <c r="B280" s="1" t="s">
        <v>56</v>
      </c>
      <c r="C280" s="1" t="s">
        <v>1650</v>
      </c>
      <c r="D280" s="1" t="str">
        <f>"EM-316-005/2010"</f>
        <v>EM-316-005/2010</v>
      </c>
      <c r="E280" s="2"/>
      <c r="F280" s="1" t="str">
        <f>"0,00"</f>
        <v>0,00</v>
      </c>
      <c r="G280" s="1" t="str">
        <f>"28.06.2012."</f>
        <v>28.06.2012.</v>
      </c>
      <c r="H280" s="1" t="str">
        <f>CONCATENATE("GTM D.O.O., VELIKA GORICA")</f>
        <v>GTM D.O.O., VELIKA GORICA</v>
      </c>
      <c r="I280" s="2"/>
      <c r="J280" s="1"/>
      <c r="K280" s="2"/>
    </row>
    <row r="281" spans="1:11" ht="78.75" x14ac:dyDescent="0.25">
      <c r="A281" s="1" t="str">
        <f>"277/2012"</f>
        <v>277/2012</v>
      </c>
      <c r="B281" s="1" t="s">
        <v>11</v>
      </c>
      <c r="C281" s="1" t="s">
        <v>1651</v>
      </c>
      <c r="D281" s="1" t="str">
        <f>"EM-116-006/2011"</f>
        <v>EM-116-006/2011</v>
      </c>
      <c r="E281" s="2"/>
      <c r="F281" s="1" t="str">
        <f>"0,00"</f>
        <v>0,00</v>
      </c>
      <c r="G281" s="1" t="str">
        <f>CONCATENATE("23.06.2012.",CHAR(10),"do sklapanja novog Ugovora nakon provedenog postupka javne nabave za predmetne usluge")</f>
        <v>23.06.2012.
do sklapanja novog Ugovora nakon provedenog postupka javne nabave za predmetne usluge</v>
      </c>
      <c r="H281" s="1" t="str">
        <f>CONCATENATE("UGO ŠARIĆ D.O.O., ZAGREB")</f>
        <v>UGO ŠARIĆ D.O.O., ZAGREB</v>
      </c>
      <c r="I281" s="2"/>
      <c r="J281" s="1"/>
      <c r="K281" s="2"/>
    </row>
    <row r="282" spans="1:11" ht="63" x14ac:dyDescent="0.25">
      <c r="A282" s="1" t="str">
        <f>"278/2012"</f>
        <v>278/2012</v>
      </c>
      <c r="B282" s="1" t="s">
        <v>14</v>
      </c>
      <c r="C282" s="1" t="s">
        <v>1652</v>
      </c>
      <c r="D282" s="1" t="str">
        <f>CONCATENATE("845-2012-EMV",CHAR(10),"2012/2 002-0007527 od 28.03.2012.")</f>
        <v>845-2012-EMV
2012/2 002-0007527 od 28.03.2012.</v>
      </c>
      <c r="E282" s="1" t="s">
        <v>15</v>
      </c>
      <c r="F282" s="1" t="str">
        <f>"409.803,00"</f>
        <v>409.803,00</v>
      </c>
      <c r="G282" s="1" t="str">
        <f>CONCATENATE("28.06.2012.",CHAR(10),"30 dana, računajući od dana uvođenja u posao")</f>
        <v>28.06.2012.
30 dana, računajući od dana uvođenja u posao</v>
      </c>
      <c r="H282" s="1" t="str">
        <f>CONCATENATE("GIP PIONIR D.O.O., ZAGREB")</f>
        <v>GIP PIONIR D.O.O., ZAGREB</v>
      </c>
      <c r="I282" s="1" t="s">
        <v>74</v>
      </c>
      <c r="J282" s="1" t="str">
        <f>SUBSTITUTE(SUBSTITUTE(SUBSTITUTE("512,214.75",".","-"),",","."),"-",",")</f>
        <v>512.214,75</v>
      </c>
      <c r="K282" s="2"/>
    </row>
    <row r="283" spans="1:11" ht="47.25" x14ac:dyDescent="0.25">
      <c r="A283" s="1" t="str">
        <f>"279/2012"</f>
        <v>279/2012</v>
      </c>
      <c r="B283" s="1" t="s">
        <v>11</v>
      </c>
      <c r="C283" s="1" t="s">
        <v>1653</v>
      </c>
      <c r="D283" s="1" t="str">
        <f>"EM-708-012/2011"</f>
        <v>EM-708-012/2011</v>
      </c>
      <c r="E283" s="2"/>
      <c r="F283" s="1" t="str">
        <f>"0,00"</f>
        <v>0,00</v>
      </c>
      <c r="G283" s="1" t="str">
        <f>CONCATENATE("30.06.2012.",CHAR(10),"do 30.06.2012")</f>
        <v>30.06.2012.
do 30.06.2012</v>
      </c>
      <c r="H283" s="1" t="str">
        <f>CONCATENATE("GRADEL D.O.O., VELIKA GORICA")</f>
        <v>GRADEL D.O.O., VELIKA GORICA</v>
      </c>
      <c r="I283" s="2"/>
      <c r="J283" s="1"/>
      <c r="K283" s="2"/>
    </row>
    <row r="284" spans="1:11" ht="63" x14ac:dyDescent="0.25">
      <c r="A284" s="1" t="str">
        <f>"280/2012"</f>
        <v>280/2012</v>
      </c>
      <c r="B284" s="1" t="s">
        <v>14</v>
      </c>
      <c r="C284" s="1" t="s">
        <v>1654</v>
      </c>
      <c r="D284" s="1" t="str">
        <f>CONCATENATE("843-2012-EMV",CHAR(10),"2012/S 002-0007685 od 28.03.2012.")</f>
        <v>843-2012-EMV
2012/S 002-0007685 od 28.03.2012.</v>
      </c>
      <c r="E284" s="1" t="s">
        <v>15</v>
      </c>
      <c r="F284" s="1" t="str">
        <f>"207.400,00"</f>
        <v>207.400,00</v>
      </c>
      <c r="G284" s="1" t="str">
        <f>CONCATENATE("02.07.2012.",CHAR(10),"120 dana, računajući od dana obostranog potpisa Ugovora")</f>
        <v>02.07.2012.
120 dana, računajući od dana obostranog potpisa Ugovora</v>
      </c>
      <c r="H284" s="1" t="str">
        <f>CONCATENATE("KOPIMA D.O.O, ZAGREB",CHAR(10),"PROJEKTNI BIRO NAGLIĆ D.O.O., ZAGREB",CHAR(10),"ARAUCARIA D.O.O., ZAGREB")</f>
        <v>KOPIMA D.O.O, ZAGREB
PROJEKTNI BIRO NAGLIĆ D.O.O., ZAGREB
ARAUCARIA D.O.O., ZAGREB</v>
      </c>
      <c r="I284" s="1" t="s">
        <v>151</v>
      </c>
      <c r="J284" s="1" t="str">
        <f>SUBSTITUTE(SUBSTITUTE(SUBSTITUTE("259,250.00",".","-"),",","."),"-",",")</f>
        <v>259.250,00</v>
      </c>
      <c r="K284" s="2"/>
    </row>
    <row r="285" spans="1:11" ht="47.25" x14ac:dyDescent="0.25">
      <c r="A285" s="1" t="str">
        <f>"281/2012"</f>
        <v>281/2012</v>
      </c>
      <c r="B285" s="1" t="s">
        <v>14</v>
      </c>
      <c r="C285" s="1" t="s">
        <v>1655</v>
      </c>
      <c r="D285" s="1" t="str">
        <f>CONCATENATE("842-2012-EMV",CHAR(10),"2012/S 002-0010391 od 09.04.2012.")</f>
        <v>842-2012-EMV
2012/S 002-0010391 od 09.04.2012.</v>
      </c>
      <c r="E285" s="1" t="s">
        <v>15</v>
      </c>
      <c r="F285" s="1" t="str">
        <f>"401.561,50"</f>
        <v>401.561,50</v>
      </c>
      <c r="G285" s="1" t="str">
        <f>CONCATENATE("03.07.2012.",CHAR(10),"120 dana")</f>
        <v>03.07.2012.
120 dana</v>
      </c>
      <c r="H285" s="1" t="str">
        <f>CONCATENATE("SIGNAL SISTEM D.O.O., PULA")</f>
        <v>SIGNAL SISTEM D.O.O., PULA</v>
      </c>
      <c r="I285" s="1" t="s">
        <v>152</v>
      </c>
      <c r="J285" s="1" t="str">
        <f>SUBSTITUTE(SUBSTITUTE(SUBSTITUTE("437,512.26",".","-"),",","."),"-",",")</f>
        <v>437.512,26</v>
      </c>
      <c r="K285" s="2"/>
    </row>
    <row r="286" spans="1:11" ht="47.25" x14ac:dyDescent="0.25">
      <c r="A286" s="1" t="str">
        <f>"282/2012"</f>
        <v>282/2012</v>
      </c>
      <c r="B286" s="1" t="s">
        <v>14</v>
      </c>
      <c r="C286" s="1" t="s">
        <v>1656</v>
      </c>
      <c r="D286" s="1" t="str">
        <f>CONCATENATE("1100-2012-EMV",CHAR(10),"2012/S 002-0011523 od 16.04.2012.")</f>
        <v>1100-2012-EMV
2012/S 002-0011523 od 16.04.2012.</v>
      </c>
      <c r="E286" s="1" t="s">
        <v>15</v>
      </c>
      <c r="F286" s="1" t="str">
        <f>"236.847,98"</f>
        <v>236.847,98</v>
      </c>
      <c r="G286" s="1" t="str">
        <f>CONCATENATE("05.07.2012.",CHAR(10),"godina dana od dana obostranog potpisa Ugovora")</f>
        <v>05.07.2012.
godina dana od dana obostranog potpisa Ugovora</v>
      </c>
      <c r="H286" s="1" t="str">
        <f>CONCATENATE("STEGA TISAK D.O.O, ZAGREB")</f>
        <v>STEGA TISAK D.O.O, ZAGREB</v>
      </c>
      <c r="I286" s="1" t="s">
        <v>153</v>
      </c>
      <c r="J286" s="1" t="str">
        <f>SUBSTITUTE(SUBSTITUTE(SUBSTITUTE("207,210.39",".","-"),",","."),"-",",")</f>
        <v>207.210,39</v>
      </c>
      <c r="K286" s="2"/>
    </row>
    <row r="287" spans="1:11" ht="63" x14ac:dyDescent="0.25">
      <c r="A287" s="1" t="str">
        <f>"283/2012"</f>
        <v>283/2012</v>
      </c>
      <c r="B287" s="1" t="s">
        <v>14</v>
      </c>
      <c r="C287" s="1" t="s">
        <v>1657</v>
      </c>
      <c r="D287" s="1" t="str">
        <f>CONCATENATE("844-2012-EMV",CHAR(10),"2012/S 002-0007509 od 28.03.2012.")</f>
        <v>844-2012-EMV
2012/S 002-0007509 od 28.03.2012.</v>
      </c>
      <c r="E287" s="1" t="s">
        <v>15</v>
      </c>
      <c r="F287" s="1" t="str">
        <f>"198.043,00"</f>
        <v>198.043,00</v>
      </c>
      <c r="G287" s="1" t="str">
        <f>CONCATENATE("05.07.2012.",CHAR(10),"90 dana, računajući od dana obostranog potpisa Ugovora")</f>
        <v>05.07.2012.
90 dana, računajući od dana obostranog potpisa Ugovora</v>
      </c>
      <c r="H287" s="1" t="str">
        <f>CONCATENATE("INSTITUT IGH D.D., ZAGREB")</f>
        <v>INSTITUT IGH D.D., ZAGREB</v>
      </c>
      <c r="I287" s="1" t="s">
        <v>154</v>
      </c>
      <c r="J287" s="1" t="str">
        <f>SUBSTITUTE(SUBSTITUTE(SUBSTITUTE("247,553.75",".","-"),",","."),"-",",")</f>
        <v>247.553,75</v>
      </c>
      <c r="K287" s="2"/>
    </row>
    <row r="288" spans="1:11" ht="78.75" x14ac:dyDescent="0.25">
      <c r="A288" s="1" t="str">
        <f>"284/2012"</f>
        <v>284/2012</v>
      </c>
      <c r="B288" s="1" t="s">
        <v>136</v>
      </c>
      <c r="C288" s="1" t="s">
        <v>1658</v>
      </c>
      <c r="D288" s="1" t="str">
        <f>CONCATENATE("136-2012-EVV",CHAR(10),"2012/S 002-0006904 od 26.03.2012.")</f>
        <v>136-2012-EVV
2012/S 002-0006904 od 26.03.2012.</v>
      </c>
      <c r="E288" s="1" t="s">
        <v>97</v>
      </c>
      <c r="F288" s="1" t="str">
        <f>"4.024.800,00"</f>
        <v>4.024.800,00</v>
      </c>
      <c r="G288" s="1" t="str">
        <f>CONCATENATE("05.07.2012.",CHAR(10),"2 godine")</f>
        <v>05.07.2012.
2 godine</v>
      </c>
      <c r="H288" s="1" t="str">
        <f>CONCATENATE("IN2 D.O.O., ZAGREB")</f>
        <v>IN2 D.O.O., ZAGREB</v>
      </c>
      <c r="I288" s="1" t="s">
        <v>155</v>
      </c>
      <c r="J288" s="1" t="str">
        <f>SUBSTITUTE(SUBSTITUTE(SUBSTITUTE("5,015,250.00",".","-"),",","."),"-",",")</f>
        <v>5.015.250,00</v>
      </c>
      <c r="K288" s="2"/>
    </row>
    <row r="289" spans="1:11" ht="47.25" x14ac:dyDescent="0.25">
      <c r="A289" s="1" t="str">
        <f>"285/2012"</f>
        <v>285/2012</v>
      </c>
      <c r="B289" s="1" t="s">
        <v>14</v>
      </c>
      <c r="C289" s="1" t="s">
        <v>1659</v>
      </c>
      <c r="D289" s="1" t="str">
        <f>CONCATENATE("720-2012-EMV",CHAR(10),"2012/S 002-0009259 od 04.03.2012.")</f>
        <v>720-2012-EMV
2012/S 002-0009259 od 04.03.2012.</v>
      </c>
      <c r="E289" s="1" t="s">
        <v>15</v>
      </c>
      <c r="F289" s="1" t="str">
        <f>"1.429.031,00"</f>
        <v>1.429.031,00</v>
      </c>
      <c r="G289" s="1" t="str">
        <f>CONCATENATE("06.07.2012.",CHAR(10),"120 dana")</f>
        <v>06.07.2012.
120 dana</v>
      </c>
      <c r="H289" s="1" t="str">
        <f>CONCATENATE("NEVING D.O.O., ZAGREB")</f>
        <v>NEVING D.O.O., ZAGREB</v>
      </c>
      <c r="I289" s="1" t="s">
        <v>156</v>
      </c>
      <c r="J289" s="1" t="str">
        <f>SUBSTITUTE(SUBSTITUTE(SUBSTITUTE("1,392,282.20",".","-"),",","."),"-",",")</f>
        <v>1.392.282,20</v>
      </c>
      <c r="K289" s="2"/>
    </row>
    <row r="290" spans="1:11" ht="47.25" x14ac:dyDescent="0.25">
      <c r="A290" s="1" t="str">
        <f>"A-1/2012"</f>
        <v>A-1/2012</v>
      </c>
      <c r="B290" s="1" t="s">
        <v>11</v>
      </c>
      <c r="C290" s="1" t="s">
        <v>1660</v>
      </c>
      <c r="D290" s="1" t="str">
        <f>"EV-697-012/2011"</f>
        <v>EV-697-012/2011</v>
      </c>
      <c r="E290" s="2"/>
      <c r="F290" s="1" t="str">
        <f>"0,00"</f>
        <v>0,00</v>
      </c>
      <c r="G290" s="1" t="str">
        <f>CONCATENATE("06.07.2012.",CHAR(10),"istovjetan osnovnom ugovoru")</f>
        <v>06.07.2012.
istovjetan osnovnom ugovoru</v>
      </c>
      <c r="H290" s="1" t="str">
        <f>CONCATENATE("MAŠINOPROJEKT D.O.O., ZAGREB",CHAR(10),"GEO 6 D.O.O, ZAGREB-SUSEDGRAD")</f>
        <v>MAŠINOPROJEKT D.O.O., ZAGREB
GEO 6 D.O.O, ZAGREB-SUSEDGRAD</v>
      </c>
      <c r="I290" s="2"/>
      <c r="J290" s="1"/>
      <c r="K290" s="2"/>
    </row>
    <row r="291" spans="1:11" ht="47.25" x14ac:dyDescent="0.25">
      <c r="A291" s="1" t="str">
        <f>"A-2/2012"</f>
        <v>A-2/2012</v>
      </c>
      <c r="B291" s="1" t="s">
        <v>11</v>
      </c>
      <c r="C291" s="1" t="s">
        <v>1661</v>
      </c>
      <c r="D291" s="1" t="str">
        <f>"EM-938-009/2011"</f>
        <v>EM-938-009/2011</v>
      </c>
      <c r="E291" s="2"/>
      <c r="F291" s="1" t="str">
        <f>"0,00"</f>
        <v>0,00</v>
      </c>
      <c r="G291" s="1" t="str">
        <f>CONCATENATE("06.07.2012.",CHAR(10),"do 16. srpnja 2012.")</f>
        <v>06.07.2012.
do 16. srpnja 2012.</v>
      </c>
      <c r="H291" s="1" t="str">
        <f>CONCATENATE("''JEDVAJ-RAJIČ'' D.O.O., DUGO SELO")</f>
        <v>''JEDVAJ-RAJIČ'' D.O.O., DUGO SELO</v>
      </c>
      <c r="I291" s="2"/>
      <c r="J291" s="1"/>
      <c r="K291" s="2"/>
    </row>
    <row r="292" spans="1:11" ht="47.25" x14ac:dyDescent="0.25">
      <c r="A292" s="1" t="str">
        <f>"286/2012"</f>
        <v>286/2012</v>
      </c>
      <c r="B292" s="1" t="s">
        <v>14</v>
      </c>
      <c r="C292" s="1" t="s">
        <v>835</v>
      </c>
      <c r="D292" s="1" t="str">
        <f>CONCATENATE("913-2012-EMV",CHAR(10),"2012/S 002-0015246 od 30.04.2012.")</f>
        <v>913-2012-EMV
2012/S 002-0015246 od 30.04.2012.</v>
      </c>
      <c r="E292" s="1" t="s">
        <v>15</v>
      </c>
      <c r="F292" s="1" t="str">
        <f>"729.380,00"</f>
        <v>729.380,00</v>
      </c>
      <c r="G292" s="1" t="str">
        <f>CONCATENATE("10.07.2012.",CHAR(10),"12 mjeseci, računajući od dana obostranog potpisa Ugovora")</f>
        <v>10.07.2012.
12 mjeseci, računajući od dana obostranog potpisa Ugovora</v>
      </c>
      <c r="H292" s="1" t="str">
        <f>CONCATENATE("ZAGREBAČKI HOLDING D.O.O., PODRUŽNICA ZRINJEVAC, ZAGREB")</f>
        <v>ZAGREBAČKI HOLDING D.O.O., PODRUŽNICA ZRINJEVAC, ZAGREB</v>
      </c>
      <c r="I292" s="1" t="s">
        <v>76</v>
      </c>
      <c r="J292" s="1" t="str">
        <f>SUBSTITUTE(SUBSTITUTE(SUBSTITUTE("911,722.75",".","-"),",","."),"-",",")</f>
        <v>911.722,75</v>
      </c>
      <c r="K292" s="2"/>
    </row>
    <row r="293" spans="1:11" ht="47.25" x14ac:dyDescent="0.25">
      <c r="A293" s="1" t="str">
        <f>"287/2012"</f>
        <v>287/2012</v>
      </c>
      <c r="B293" s="1" t="s">
        <v>14</v>
      </c>
      <c r="C293" s="1" t="s">
        <v>1662</v>
      </c>
      <c r="D293" s="1" t="str">
        <f>CONCATENATE("920-2012-EMV",CHAR(10),"2012/S 002-0016148 od 03.05.2012.")</f>
        <v>920-2012-EMV
2012/S 002-0016148 od 03.05.2012.</v>
      </c>
      <c r="E293" s="1" t="s">
        <v>15</v>
      </c>
      <c r="F293" s="1" t="str">
        <f>"97.820,00"</f>
        <v>97.820,00</v>
      </c>
      <c r="G293" s="1" t="str">
        <f>CONCATENATE("11.07.2012.",CHAR(10),"12 mjeseci, računajući od dana obostranog potpisa Ugovora")</f>
        <v>11.07.2012.
12 mjeseci, računajući od dana obostranog potpisa Ugovora</v>
      </c>
      <c r="H293" s="1" t="str">
        <f>CONCATENATE("ADRIA SERVIS D.O.O., ZAGREB")</f>
        <v>ADRIA SERVIS D.O.O., ZAGREB</v>
      </c>
      <c r="I293" s="1" t="s">
        <v>157</v>
      </c>
      <c r="J293" s="1" t="str">
        <f>SUBSTITUTE(SUBSTITUTE(SUBSTITUTE("97,518.00",".","-"),",","."),"-",",")</f>
        <v>97.518,00</v>
      </c>
      <c r="K293" s="2"/>
    </row>
    <row r="294" spans="1:11" ht="47.25" x14ac:dyDescent="0.25">
      <c r="A294" s="1" t="str">
        <f>"288/2012"</f>
        <v>288/2012</v>
      </c>
      <c r="B294" s="1" t="s">
        <v>14</v>
      </c>
      <c r="C294" s="1" t="s">
        <v>1663</v>
      </c>
      <c r="D294" s="1" t="str">
        <f>CONCATENATE("881-2012-EMV",CHAR(10),"2012/S 002-0010749 od 12.04.2012.")</f>
        <v>881-2012-EMV
2012/S 002-0010749 od 12.04.2012.</v>
      </c>
      <c r="E294" s="1" t="s">
        <v>15</v>
      </c>
      <c r="F294" s="1" t="str">
        <f>"189.343,20"</f>
        <v>189.343,20</v>
      </c>
      <c r="G294" s="1" t="str">
        <f>CONCATENATE("12.07.2012.",CHAR(10),"60 dana")</f>
        <v>12.07.2012.
60 dana</v>
      </c>
      <c r="H294" s="1" t="str">
        <f>CONCATENATE("FANOS D.O.O.,")</f>
        <v>FANOS D.O.O.,</v>
      </c>
      <c r="I294" s="1" t="s">
        <v>13</v>
      </c>
      <c r="J294" s="1" t="str">
        <f>SUBSTITUTE(SUBSTITUTE(SUBSTITUTE("236,155.00",".","-"),",","."),"-",",")</f>
        <v>236.155,00</v>
      </c>
      <c r="K294" s="2"/>
    </row>
    <row r="295" spans="1:11" ht="47.25" x14ac:dyDescent="0.25">
      <c r="A295" s="1" t="str">
        <f>"289/2012"</f>
        <v>289/2012</v>
      </c>
      <c r="B295" s="1" t="s">
        <v>14</v>
      </c>
      <c r="C295" s="1" t="s">
        <v>1664</v>
      </c>
      <c r="D295" s="1" t="str">
        <f>CONCATENATE("300-2012-EMV",CHAR(10),"2012/S 002-0013898 od 25.04.2012.")</f>
        <v>300-2012-EMV
2012/S 002-0013898 od 25.04.2012.</v>
      </c>
      <c r="E295" s="1" t="s">
        <v>15</v>
      </c>
      <c r="F295" s="1" t="str">
        <f>"91.810,00"</f>
        <v>91.810,00</v>
      </c>
      <c r="G295" s="1" t="str">
        <f>CONCATENATE("13.07.2012.",CHAR(10),"12 mjeseci, računajući od dana obostranog potpisa Ugovora")</f>
        <v>13.07.2012.
12 mjeseci, računajući od dana obostranog potpisa Ugovora</v>
      </c>
      <c r="H295" s="1" t="str">
        <f>CONCATENATE("BIRODOM D.O.O., LUČKO")</f>
        <v>BIRODOM D.O.O., LUČKO</v>
      </c>
      <c r="I295" s="1" t="s">
        <v>158</v>
      </c>
      <c r="J295" s="1" t="str">
        <f>SUBSTITUTE(SUBSTITUTE(SUBSTITUTE("114,702.50",".","-"),",","."),"-",",")</f>
        <v>114.702,50</v>
      </c>
      <c r="K295" s="2"/>
    </row>
    <row r="296" spans="1:11" ht="47.25" x14ac:dyDescent="0.25">
      <c r="A296" s="1" t="str">
        <f>"290/2012"</f>
        <v>290/2012</v>
      </c>
      <c r="B296" s="1" t="s">
        <v>14</v>
      </c>
      <c r="C296" s="1" t="s">
        <v>1665</v>
      </c>
      <c r="D296" s="1" t="str">
        <f>CONCATENATE("108-2012-EMV",CHAR(10),"2012/S 002-0013513 od 24.04.2012.")</f>
        <v>108-2012-EMV
2012/S 002-0013513 od 24.04.2012.</v>
      </c>
      <c r="E296" s="1" t="s">
        <v>15</v>
      </c>
      <c r="F296" s="1" t="str">
        <f>"61.816,25"</f>
        <v>61.816,25</v>
      </c>
      <c r="G296" s="1" t="str">
        <f>CONCATENATE("16.07.2012.",CHAR(10),"12 mjeseci od dana obostranog potpisa Ugovora")</f>
        <v>16.07.2012.
12 mjeseci od dana obostranog potpisa Ugovora</v>
      </c>
      <c r="H296" s="1" t="str">
        <f>CONCATENATE("AUTO SERVIS VIDOVIĆ VL.BRANKO VIDOVIĆ, ZAGREB")</f>
        <v>AUTO SERVIS VIDOVIĆ VL.BRANKO VIDOVIĆ, ZAGREB</v>
      </c>
      <c r="I296" s="1" t="s">
        <v>132</v>
      </c>
      <c r="J296" s="1" t="str">
        <f>SUBSTITUTE(SUBSTITUTE(SUBSTITUTE("76,697.46",".","-"),",","."),"-",",")</f>
        <v>76.697,46</v>
      </c>
      <c r="K296" s="2"/>
    </row>
    <row r="297" spans="1:11" ht="47.25" x14ac:dyDescent="0.25">
      <c r="A297" s="1" t="str">
        <f>"291/2012"</f>
        <v>291/2012</v>
      </c>
      <c r="B297" s="1" t="s">
        <v>14</v>
      </c>
      <c r="C297" s="1" t="s">
        <v>1666</v>
      </c>
      <c r="D297" s="1" t="str">
        <f>CONCATENATE("108-2012-EMV",CHAR(10),"2012/S 002-0013513 od 24.04.2012.")</f>
        <v>108-2012-EMV
2012/S 002-0013513 od 24.04.2012.</v>
      </c>
      <c r="E297" s="1" t="s">
        <v>15</v>
      </c>
      <c r="F297" s="1" t="str">
        <f>"28.090,42"</f>
        <v>28.090,42</v>
      </c>
      <c r="G297" s="1" t="str">
        <f>CONCATENATE("16.07.2012.",CHAR(10),"12 mjeseci od dana obostranog potpisa Ugovora")</f>
        <v>16.07.2012.
12 mjeseci od dana obostranog potpisa Ugovora</v>
      </c>
      <c r="H297" s="1" t="str">
        <f>CONCATENATE("BERTOL-AUTOMOBILI, ZAGREB")</f>
        <v>BERTOL-AUTOMOBILI, ZAGREB</v>
      </c>
      <c r="I297" s="1" t="s">
        <v>159</v>
      </c>
      <c r="J297" s="1" t="str">
        <f>SUBSTITUTE(SUBSTITUTE(SUBSTITUTE("35,113.03",".","-"),",","."),"-",",")</f>
        <v>35.113,03</v>
      </c>
      <c r="K297" s="2"/>
    </row>
    <row r="298" spans="1:11" ht="47.25" x14ac:dyDescent="0.25">
      <c r="A298" s="1" t="str">
        <f>"292/2012"</f>
        <v>292/2012</v>
      </c>
      <c r="B298" s="1" t="s">
        <v>14</v>
      </c>
      <c r="C298" s="1" t="s">
        <v>1667</v>
      </c>
      <c r="D298" s="1" t="str">
        <f>CONCATENATE("220-2012-EMV",CHAR(10),"2012/S-002-0007713 od 28.03.2012.")</f>
        <v>220-2012-EMV
2012/S-002-0007713 od 28.03.2012.</v>
      </c>
      <c r="E298" s="1" t="s">
        <v>15</v>
      </c>
      <c r="F298" s="1" t="str">
        <f>"147.000,00"</f>
        <v>147.000,00</v>
      </c>
      <c r="G298" s="1" t="str">
        <f>CONCATENATE("16.07.2012.",CHAR(10),"60 dana, računajući od dana obostranog potpisa Ugovora")</f>
        <v>16.07.2012.
60 dana, računajući od dana obostranog potpisa Ugovora</v>
      </c>
      <c r="H298" s="1" t="str">
        <f>CONCATENATE("ZG-PROJEKT D.O.O., ZAGREB")</f>
        <v>ZG-PROJEKT D.O.O., ZAGREB</v>
      </c>
      <c r="I298" s="1" t="s">
        <v>160</v>
      </c>
      <c r="J298" s="1" t="str">
        <f>SUBSTITUTE(SUBSTITUTE(SUBSTITUTE("147,000.00",".","-"),",","."),"-",",")</f>
        <v>147.000,00</v>
      </c>
      <c r="K298" s="2"/>
    </row>
    <row r="299" spans="1:11" ht="47.25" x14ac:dyDescent="0.25">
      <c r="A299" s="1" t="str">
        <f>"R-1/2012"</f>
        <v>R-1/2012</v>
      </c>
      <c r="B299" s="1" t="s">
        <v>56</v>
      </c>
      <c r="C299" s="1" t="s">
        <v>1668</v>
      </c>
      <c r="D299" s="1" t="str">
        <f>"EM-782-012/2011"</f>
        <v>EM-782-012/2011</v>
      </c>
      <c r="E299" s="2"/>
      <c r="F299" s="1" t="str">
        <f>"0,00"</f>
        <v>0,00</v>
      </c>
      <c r="G299" s="1" t="str">
        <f>"16.07.2012."</f>
        <v>16.07.2012.</v>
      </c>
      <c r="H299" s="1" t="str">
        <f>CONCATENATE("P.G.P. D.O.O., ZAGREB",CHAR(10),"GEO-INFORMATIČKI STUDIO D.O.O., ZAGREB")</f>
        <v>P.G.P. D.O.O., ZAGREB
GEO-INFORMATIČKI STUDIO D.O.O., ZAGREB</v>
      </c>
      <c r="I299" s="1" t="s">
        <v>161</v>
      </c>
      <c r="J299" s="1" t="str">
        <f>SUBSTITUTE(SUBSTITUTE(SUBSTITUTE("9,671.87",".","-"),",","."),"-",",")</f>
        <v>9.671,87</v>
      </c>
      <c r="K299" s="2"/>
    </row>
    <row r="300" spans="1:11" ht="47.25" x14ac:dyDescent="0.25">
      <c r="A300" s="1" t="str">
        <f>"A-3/2012"</f>
        <v>A-3/2012</v>
      </c>
      <c r="B300" s="1" t="s">
        <v>11</v>
      </c>
      <c r="C300" s="1" t="s">
        <v>1669</v>
      </c>
      <c r="D300" s="1" t="str">
        <f>"EM-801-012/2011"</f>
        <v>EM-801-012/2011</v>
      </c>
      <c r="E300" s="2"/>
      <c r="F300" s="1" t="str">
        <f>"0,00"</f>
        <v>0,00</v>
      </c>
      <c r="G300" s="1" t="str">
        <f>CONCATENATE("16.07.2012.",CHAR(10),"vrijede odredbe osnovnog Ugovora")</f>
        <v>16.07.2012.
vrijede odredbe osnovnog Ugovora</v>
      </c>
      <c r="H300" s="1" t="str">
        <f>CONCATENATE("GEOMETAR D.O.O., ZAGREB",CHAR(10),"PUGAR D.O.O., VELIKA GORICA")</f>
        <v>GEOMETAR D.O.O., ZAGREB
PUGAR D.O.O., VELIKA GORICA</v>
      </c>
      <c r="I300" s="2"/>
      <c r="J300" s="1"/>
      <c r="K300" s="2"/>
    </row>
    <row r="301" spans="1:11" ht="78.75" x14ac:dyDescent="0.25">
      <c r="A301" s="1" t="str">
        <f>"293/2012"</f>
        <v>293/2012</v>
      </c>
      <c r="B301" s="1" t="s">
        <v>11</v>
      </c>
      <c r="C301" s="1" t="s">
        <v>1670</v>
      </c>
      <c r="D301" s="1" t="str">
        <f>CONCATENATE("EM-999-012/2011",CHAR(10),"N-32-M-103386-060212 od 07.02.2012.")</f>
        <v>EM-999-012/2011
N-32-M-103386-060212 od 07.02.2012.</v>
      </c>
      <c r="E301" s="1" t="s">
        <v>12</v>
      </c>
      <c r="F301" s="1" t="str">
        <f>"6.500,00"</f>
        <v>6.500,00</v>
      </c>
      <c r="G301" s="1" t="str">
        <f>CONCATENATE("17.07.2012.",CHAR(10),"25 dana, kao i u jam. roku za kv. izved. radova u trajanju od 2 god. rač.i od dana obav. teh. pregle")</f>
        <v>17.07.2012.
25 dana, kao i u jam. roku za kv. izved. radova u trajanju od 2 god. rač.i od dana obav. teh. pregle</v>
      </c>
      <c r="H301" s="1" t="str">
        <f>CONCATENATE("HIDROPROJEKT D.O.O., ZAGREB")</f>
        <v>HIDROPROJEKT D.O.O., ZAGREB</v>
      </c>
      <c r="I301" s="2"/>
      <c r="J301" s="1"/>
      <c r="K301" s="2"/>
    </row>
    <row r="302" spans="1:11" ht="47.25" x14ac:dyDescent="0.25">
      <c r="A302" s="1" t="str">
        <f>"294/2012"</f>
        <v>294/2012</v>
      </c>
      <c r="B302" s="1" t="s">
        <v>14</v>
      </c>
      <c r="C302" s="1" t="s">
        <v>1671</v>
      </c>
      <c r="D302" s="1" t="str">
        <f>CONCATENATE("1900-2012-EMV",CHAR(10),"2012/S 015-0033616 od 21.06.2012.")</f>
        <v>1900-2012-EMV
2012/S 015-0033616 od 21.06.2012.</v>
      </c>
      <c r="E302" s="1" t="s">
        <v>12</v>
      </c>
      <c r="F302" s="1" t="str">
        <f>"228.659,80"</f>
        <v>228.659,80</v>
      </c>
      <c r="G302" s="1" t="str">
        <f>CONCATENATE("17.07.2012.",CHAR(10),"15 dana, računajući od dana uvođenja u posao")</f>
        <v>17.07.2012.
15 dana, računajući od dana uvođenja u posao</v>
      </c>
      <c r="H302" s="1" t="str">
        <f>CONCATENATE("FOTON PROMET D.O.O., SESVETE")</f>
        <v>FOTON PROMET D.O.O., SESVETE</v>
      </c>
      <c r="I302" s="1" t="s">
        <v>83</v>
      </c>
      <c r="J302" s="1" t="str">
        <f>SUBSTITUTE(SUBSTITUTE(SUBSTITUTE("285,824.75",".","-"),",","."),"-",",")</f>
        <v>285.824,75</v>
      </c>
      <c r="K302" s="2"/>
    </row>
    <row r="303" spans="1:11" ht="47.25" x14ac:dyDescent="0.25">
      <c r="A303" s="1" t="str">
        <f>"295/2012"</f>
        <v>295/2012</v>
      </c>
      <c r="B303" s="1" t="s">
        <v>14</v>
      </c>
      <c r="C303" s="1" t="s">
        <v>1672</v>
      </c>
      <c r="D303" s="1" t="str">
        <f>CONCATENATE("2069-2012-EMV",CHAR(10),"2012/S 002-0017906 od 09.05.2012.")</f>
        <v>2069-2012-EMV
2012/S 002-0017906 od 09.05.2012.</v>
      </c>
      <c r="E303" s="1" t="s">
        <v>15</v>
      </c>
      <c r="F303" s="1" t="str">
        <f>"3.765.216,96"</f>
        <v>3.765.216,96</v>
      </c>
      <c r="G303" s="1" t="str">
        <f>CONCATENATE("18.07.2012.",CHAR(10),"50 dana")</f>
        <v>18.07.2012.
50 dana</v>
      </c>
      <c r="H303" s="1" t="str">
        <f>CONCATENATE("GIP PIONIR D.O.O., ZAGREB")</f>
        <v>GIP PIONIR D.O.O., ZAGREB</v>
      </c>
      <c r="I303" s="1" t="s">
        <v>162</v>
      </c>
      <c r="J303" s="1" t="str">
        <f>SUBSTITUTE(SUBSTITUTE(SUBSTITUTE("4,706,121.79",".","-"),",","."),"-",",")</f>
        <v>4.706.121,79</v>
      </c>
      <c r="K303" s="2"/>
    </row>
    <row r="304" spans="1:11" ht="47.25" x14ac:dyDescent="0.25">
      <c r="A304" s="1" t="str">
        <f>"296/2012"</f>
        <v>296/2012</v>
      </c>
      <c r="B304" s="1" t="s">
        <v>14</v>
      </c>
      <c r="C304" s="1" t="s">
        <v>1673</v>
      </c>
      <c r="D304" s="1" t="str">
        <f>CONCATENATE("2002-2012-EMV",CHAR(10),"2012/S-002-0020023 od 16.05.2012.")</f>
        <v>2002-2012-EMV
2012/S-002-0020023 od 16.05.2012.</v>
      </c>
      <c r="E304" s="1" t="s">
        <v>15</v>
      </c>
      <c r="F304" s="1" t="str">
        <f>"1.632.750,00"</f>
        <v>1.632.750,00</v>
      </c>
      <c r="G304" s="1" t="str">
        <f>CONCATENATE("18.07.2012.",CHAR(10),"30 dana")</f>
        <v>18.07.2012.
30 dana</v>
      </c>
      <c r="H304" s="1" t="str">
        <f>CONCATENATE("TILIA SPORT GRUPA D.O.O., VIŠKOVO",CHAR(10),"LASIĆ COMPANY D.O.O., IMOTSKI")</f>
        <v>TILIA SPORT GRUPA D.O.O., VIŠKOVO
LASIĆ COMPANY D.O.O., IMOTSKI</v>
      </c>
      <c r="I304" s="1" t="s">
        <v>163</v>
      </c>
      <c r="J304" s="1" t="str">
        <f>SUBSTITUTE(SUBSTITUTE(SUBSTITUTE("2,039,234.94",".","-"),",","."),"-",",")</f>
        <v>2.039.234,94</v>
      </c>
      <c r="K304" s="2"/>
    </row>
    <row r="305" spans="1:11" ht="63" x14ac:dyDescent="0.25">
      <c r="A305" s="1" t="str">
        <f>"297/2012"</f>
        <v>297/2012</v>
      </c>
      <c r="B305" s="1" t="s">
        <v>14</v>
      </c>
      <c r="C305" s="1" t="s">
        <v>1674</v>
      </c>
      <c r="D305" s="1" t="str">
        <f>CONCATENATE("890-2012-EMV",CHAR(10),"2012/S 002-0006604 od 23.03.2012.")</f>
        <v>890-2012-EMV
2012/S 002-0006604 od 23.03.2012.</v>
      </c>
      <c r="E305" s="1" t="s">
        <v>15</v>
      </c>
      <c r="F305" s="1" t="str">
        <f>"214.000,00"</f>
        <v>214.000,00</v>
      </c>
      <c r="G305" s="1" t="str">
        <f>CONCATENATE("20.07.2012.",CHAR(10),"6 mjeseci, računajući od dana uvođenja u posao")</f>
        <v>20.07.2012.
6 mjeseci, računajući od dana uvođenja u posao</v>
      </c>
      <c r="H305" s="1" t="str">
        <f>CONCATENATE("PROMETIS D.O.O., ZAGREB",CHAR(10),"MOJ DOM D.O.O., ZADAR")</f>
        <v>PROMETIS D.O.O., ZAGREB
MOJ DOM D.O.O., ZADAR</v>
      </c>
      <c r="I305" s="1" t="s">
        <v>164</v>
      </c>
      <c r="J305" s="1" t="str">
        <f>SUBSTITUTE(SUBSTITUTE(SUBSTITUTE("267,500.00",".","-"),",","."),"-",",")</f>
        <v>267.500,00</v>
      </c>
      <c r="K305" s="2"/>
    </row>
    <row r="306" spans="1:11" ht="31.5" x14ac:dyDescent="0.25">
      <c r="A306" s="1" t="str">
        <f>"A-4/2012"</f>
        <v>A-4/2012</v>
      </c>
      <c r="B306" s="1" t="s">
        <v>11</v>
      </c>
      <c r="C306" s="1" t="s">
        <v>1675</v>
      </c>
      <c r="D306" s="1" t="str">
        <f>"EM-180-001/2011"</f>
        <v>EM-180-001/2011</v>
      </c>
      <c r="E306" s="2"/>
      <c r="F306" s="1" t="str">
        <f>"0,00"</f>
        <v>0,00</v>
      </c>
      <c r="G306" s="1" t="str">
        <f>CONCATENATE("23.07.2012.",CHAR(10),"do sklapanja novog Ugovora")</f>
        <v>23.07.2012.
do sklapanja novog Ugovora</v>
      </c>
      <c r="H306" s="1" t="str">
        <f>CONCATENATE("HUP-ZAGREB D.D. SHERATON HOTEL ZAGREB, ZAGREB")</f>
        <v>HUP-ZAGREB D.D. SHERATON HOTEL ZAGREB, ZAGREB</v>
      </c>
      <c r="I306" s="1" t="s">
        <v>165</v>
      </c>
      <c r="J306" s="1" t="str">
        <f>SUBSTITUTE(SUBSTITUTE(SUBSTITUTE("162,166.14",".","-"),",","."),"-",",")</f>
        <v>162.166,14</v>
      </c>
      <c r="K306" s="2"/>
    </row>
    <row r="307" spans="1:11" ht="47.25" x14ac:dyDescent="0.25">
      <c r="A307" s="1" t="str">
        <f>"298/2012"</f>
        <v>298/2012</v>
      </c>
      <c r="B307" s="1" t="s">
        <v>14</v>
      </c>
      <c r="C307" s="1" t="s">
        <v>1676</v>
      </c>
      <c r="D307" s="1" t="str">
        <f>CONCATENATE("108-2012-EMV",CHAR(10),"2012/S 002-0013513 od 24.04.2012.")</f>
        <v>108-2012-EMV
2012/S 002-0013513 od 24.04.2012.</v>
      </c>
      <c r="E307" s="1" t="s">
        <v>15</v>
      </c>
      <c r="F307" s="1" t="str">
        <f>"9.041,24"</f>
        <v>9.041,24</v>
      </c>
      <c r="G307" s="1" t="str">
        <f>CONCATENATE("23.07.2012.",CHAR(10),"12 mjeseci od dana obostranog potpisa Ugovora")</f>
        <v>23.07.2012.
12 mjeseci od dana obostranog potpisa Ugovora</v>
      </c>
      <c r="H307" s="1" t="str">
        <f>CONCATENATE("ROMIH D.O.O., ZAGREB")</f>
        <v>ROMIH D.O.O., ZAGREB</v>
      </c>
      <c r="I307" s="1" t="s">
        <v>166</v>
      </c>
      <c r="J307" s="1" t="str">
        <f>SUBSTITUTE(SUBSTITUTE(SUBSTITUTE("11,301.55",".","-"),",","."),"-",",")</f>
        <v>11.301,55</v>
      </c>
      <c r="K307" s="2"/>
    </row>
    <row r="308" spans="1:11" ht="63" x14ac:dyDescent="0.25">
      <c r="A308" s="1" t="str">
        <f>"299/2012"</f>
        <v>299/2012</v>
      </c>
      <c r="B308" s="1" t="s">
        <v>14</v>
      </c>
      <c r="C308" s="1" t="s">
        <v>1677</v>
      </c>
      <c r="D308" s="1" t="str">
        <f>CONCATENATE("486-2012-EMV",CHAR(10),"2012/S 015-0037646 od 06.07.2012.")</f>
        <v>486-2012-EMV
2012/S 015-0037646 od 06.07.2012.</v>
      </c>
      <c r="E308" s="1" t="s">
        <v>40</v>
      </c>
      <c r="F308" s="1" t="str">
        <f>"369.600,00"</f>
        <v>369.600,00</v>
      </c>
      <c r="G308" s="1" t="str">
        <f>CONCATENATE("16.07.2012.",CHAR(10),"od 17. srpnja do 21. kolovoza 2012.")</f>
        <v>16.07.2012.
od 17. srpnja do 21. kolovoza 2012.</v>
      </c>
      <c r="H308" s="1" t="str">
        <f>CONCATENATE("HRVATSKI CRVENI KRIŽ, GRADSKO DRUŠTVO CRVENOG KRIŽA ZAGREB, ZAGREB")</f>
        <v>HRVATSKI CRVENI KRIŽ, GRADSKO DRUŠTVO CRVENOG KRIŽA ZAGREB, ZAGREB</v>
      </c>
      <c r="I308" s="1" t="s">
        <v>21</v>
      </c>
      <c r="J308" s="1" t="str">
        <f>SUBSTITUTE(SUBSTITUTE(SUBSTITUTE("366,660.00",".","-"),",","."),"-",",")</f>
        <v>366.660,00</v>
      </c>
      <c r="K308" s="2"/>
    </row>
    <row r="309" spans="1:11" ht="47.25" x14ac:dyDescent="0.25">
      <c r="A309" s="1" t="str">
        <f>"300/2012"</f>
        <v>300/2012</v>
      </c>
      <c r="B309" s="1" t="s">
        <v>14</v>
      </c>
      <c r="C309" s="1" t="s">
        <v>1678</v>
      </c>
      <c r="D309" s="1" t="str">
        <f>CONCATENATE("822-2012-EMV",CHAR(10),"2012/S 002-0023268 od 24.05.2012.")</f>
        <v>822-2012-EMV
2012/S 002-0023268 od 24.05.2012.</v>
      </c>
      <c r="E309" s="1" t="s">
        <v>15</v>
      </c>
      <c r="F309" s="1" t="str">
        <f>"22.997.311,25"</f>
        <v>22.997.311,25</v>
      </c>
      <c r="G309" s="1" t="str">
        <f>CONCATENATE("25.07.2012.",CHAR(10),"90 dana, računajući od dana uvođenja u posao")</f>
        <v>25.07.2012.
90 dana, računajući od dana uvođenja u posao</v>
      </c>
      <c r="H309" s="1" t="str">
        <f>CONCATENATE("CARIN D.O.O., ZAGREB",CHAR(10),"VIADUKT D.D., ZAGREB",CHAR(10),"SPEGRA INŽENJERING D.O.O., SPLIT")</f>
        <v>CARIN D.O.O., ZAGREB
VIADUKT D.D., ZAGREB
SPEGRA INŽENJERING D.O.O., SPLIT</v>
      </c>
      <c r="I309" s="1" t="s">
        <v>167</v>
      </c>
      <c r="J309" s="1" t="str">
        <f>SUBSTITUTE(SUBSTITUTE(SUBSTITUTE("28,745,917.25",".","-"),",","."),"-",",")</f>
        <v>28.745.917,25</v>
      </c>
      <c r="K309" s="2"/>
    </row>
    <row r="310" spans="1:11" ht="47.25" x14ac:dyDescent="0.25">
      <c r="A310" s="1" t="str">
        <f>"301/2012"</f>
        <v>301/2012</v>
      </c>
      <c r="B310" s="1" t="s">
        <v>14</v>
      </c>
      <c r="C310" s="1" t="s">
        <v>1679</v>
      </c>
      <c r="D310" s="1" t="str">
        <f>CONCATENATE("114-2012-EMV",CHAR(10),"2012/S 015-0041603 od 17.07.2012.")</f>
        <v>114-2012-EMV
2012/S 015-0041603 od 17.07.2012.</v>
      </c>
      <c r="E310" s="1" t="s">
        <v>12</v>
      </c>
      <c r="F310" s="1" t="str">
        <f>"1.259.840,00"</f>
        <v>1.259.840,00</v>
      </c>
      <c r="G310" s="1" t="str">
        <f>CONCATENATE("07.07.2012.",CHAR(10),"6 mjeseci od dana obostranog potpisa Ugovora")</f>
        <v>07.07.2012.
6 mjeseci od dana obostranog potpisa Ugovora</v>
      </c>
      <c r="H310" s="1" t="str">
        <f>CONCATENATE("MEDIJSKA MREŽA D.O.O., ZAGREB")</f>
        <v>MEDIJSKA MREŽA D.O.O., ZAGREB</v>
      </c>
      <c r="I310" s="1" t="s">
        <v>168</v>
      </c>
      <c r="J310" s="1" t="str">
        <f>SUBSTITUTE(SUBSTITUTE(SUBSTITUTE("1,574,800.00",".","-"),",","."),"-",",")</f>
        <v>1.574.800,00</v>
      </c>
      <c r="K310" s="2"/>
    </row>
    <row r="311" spans="1:11" ht="47.25" x14ac:dyDescent="0.25">
      <c r="A311" s="1" t="str">
        <f>"302/2012"</f>
        <v>302/2012</v>
      </c>
      <c r="B311" s="1" t="s">
        <v>14</v>
      </c>
      <c r="C311" s="1" t="s">
        <v>1680</v>
      </c>
      <c r="D311" s="1" t="str">
        <f>CONCATENATE("870-2012-EMV",CHAR(10),"2012/S 002-0014171 od 25.04.2012.")</f>
        <v>870-2012-EMV
2012/S 002-0014171 od 25.04.2012.</v>
      </c>
      <c r="E311" s="1" t="s">
        <v>15</v>
      </c>
      <c r="F311" s="1" t="str">
        <f>"715.437,00"</f>
        <v>715.437,00</v>
      </c>
      <c r="G311" s="1" t="str">
        <f>CONCATENATE("27.07.2012.",CHAR(10),"60 dana, računajući od dana uvođenja u posao")</f>
        <v>27.07.2012.
60 dana, računajući od dana uvođenja u posao</v>
      </c>
      <c r="H311" s="1" t="str">
        <f>CONCATENATE("MONTEL D.O.O., ZAGREB")</f>
        <v>MONTEL D.O.O., ZAGREB</v>
      </c>
      <c r="I311" s="2"/>
      <c r="J311" s="1"/>
      <c r="K311" s="2"/>
    </row>
    <row r="312" spans="1:11" ht="47.25" x14ac:dyDescent="0.25">
      <c r="A312" s="1" t="str">
        <f>"303/2012"</f>
        <v>303/2012</v>
      </c>
      <c r="B312" s="1" t="s">
        <v>14</v>
      </c>
      <c r="C312" s="1" t="s">
        <v>1681</v>
      </c>
      <c r="D312" s="1" t="str">
        <f>CONCATENATE("1117-2012-EMV",CHAR(10),"2012/S 002-0017021 od 07.05.2012.")</f>
        <v>1117-2012-EMV
2012/S 002-0017021 od 07.05.2012.</v>
      </c>
      <c r="E312" s="1" t="s">
        <v>15</v>
      </c>
      <c r="F312" s="1" t="str">
        <f>"179.000,00"</f>
        <v>179.000,00</v>
      </c>
      <c r="G312" s="1" t="str">
        <f>CONCATENATE("30.07.2012.",CHAR(10),"4 mjeseca, računajući od dana obostranog potpisa Ugovora")</f>
        <v>30.07.2012.
4 mjeseca, računajući od dana obostranog potpisa Ugovora</v>
      </c>
      <c r="H312" s="1" t="str">
        <f>CONCATENATE("FLUID-PROJEKT D.O.O., ZAPREŠIĆ",CHAR(10),"ELEKTRO EKSPERT D.O.O., ZAGREB",CHAR(10),"ETER D.O.O., ZAGREB")</f>
        <v>FLUID-PROJEKT D.O.O., ZAPREŠIĆ
ELEKTRO EKSPERT D.O.O., ZAGREB
ETER D.O.O., ZAGREB</v>
      </c>
      <c r="I312" s="1" t="s">
        <v>169</v>
      </c>
      <c r="J312" s="1" t="str">
        <f>SUBSTITUTE(SUBSTITUTE(SUBSTITUTE("223,750.00",".","-"),",","."),"-",",")</f>
        <v>223.750,00</v>
      </c>
      <c r="K312" s="2"/>
    </row>
    <row r="313" spans="1:11" ht="47.25" x14ac:dyDescent="0.25">
      <c r="A313" s="1" t="str">
        <f>"304/2012"</f>
        <v>304/2012</v>
      </c>
      <c r="B313" s="1" t="s">
        <v>14</v>
      </c>
      <c r="C313" s="1" t="s">
        <v>692</v>
      </c>
      <c r="D313" s="1" t="str">
        <f>CONCATENATE("882-2012-EMV",CHAR(10),"2012/S 002-0017411 od 08.05.2012.")</f>
        <v>882-2012-EMV
2012/S 002-0017411 od 08.05.2012.</v>
      </c>
      <c r="E313" s="1" t="s">
        <v>15</v>
      </c>
      <c r="F313" s="1" t="str">
        <f>"236.600,00"</f>
        <v>236.600,00</v>
      </c>
      <c r="G313" s="1" t="str">
        <f>CONCATENATE("30.07.2012.",CHAR(10),"2 mjeseca od dana obostranog potpisa Ugovora")</f>
        <v>30.07.2012.
2 mjeseca od dana obostranog potpisa Ugovora</v>
      </c>
      <c r="H313" s="1" t="str">
        <f>CONCATENATE("FANOS D.O.O.,")</f>
        <v>FANOS D.O.O.,</v>
      </c>
      <c r="I313" s="1" t="s">
        <v>39</v>
      </c>
      <c r="J313" s="1" t="str">
        <f>SUBSTITUTE(SUBSTITUTE(SUBSTITUTE("295,750.00",".","-"),",","."),"-",",")</f>
        <v>295.750,00</v>
      </c>
      <c r="K313" s="2"/>
    </row>
    <row r="314" spans="1:11" ht="94.5" x14ac:dyDescent="0.25">
      <c r="A314" s="1" t="str">
        <f>"305/2012"</f>
        <v>305/2012</v>
      </c>
      <c r="B314" s="1" t="s">
        <v>14</v>
      </c>
      <c r="C314" s="1" t="s">
        <v>1682</v>
      </c>
      <c r="D314" s="1" t="str">
        <f>CONCATENATE("875-2012-EMV",CHAR(10),"2012/S 002-0015812 od 02.05.2012.")</f>
        <v>875-2012-EMV
2012/S 002-0015812 od 02.05.2012.</v>
      </c>
      <c r="E314" s="1" t="s">
        <v>15</v>
      </c>
      <c r="F314" s="1" t="str">
        <f>"138.425,00"</f>
        <v>138.425,00</v>
      </c>
      <c r="G314" s="1" t="str">
        <f>CONCATENATE("30.07.2012.",CHAR(10),"ug. usl. izv. prema rok. i dinam. izv. rad., od dana uvođenja u posao izv. do predaje z.izvj. n. inž")</f>
        <v>30.07.2012.
ug. usl. izv. prema rok. i dinam. izv. rad., od dana uvođenja u posao izv. do predaje z.izvj. n. inž</v>
      </c>
      <c r="H314" s="1" t="str">
        <f>CONCATENATE("LIPA L.P. D.O.O., ZAGREB",CHAR(10),"NERING PROJEKT D.O.O., ZAGREB",CHAR(10),"NORA DVA D.O.O., ZAGREB",CHAR(10),"SLIMEL D.O.O., ZAGREB",CHAR(10),"MGV D.O.O., ZAGREB",CHAR(10),"PARTNER GRADNJA D.O.O., SESVETE")</f>
        <v>LIPA L.P. D.O.O., ZAGREB
NERING PROJEKT D.O.O., ZAGREB
NORA DVA D.O.O., ZAGREB
SLIMEL D.O.O., ZAGREB
MGV D.O.O., ZAGREB
PARTNER GRADNJA D.O.O., SESVETE</v>
      </c>
      <c r="I314" s="1" t="s">
        <v>170</v>
      </c>
      <c r="J314" s="1" t="str">
        <f>SUBSTITUTE(SUBSTITUTE(SUBSTITUTE("173,031.25",".","-"),",","."),"-",",")</f>
        <v>173.031,25</v>
      </c>
      <c r="K314" s="2"/>
    </row>
    <row r="315" spans="1:11" ht="78.75" x14ac:dyDescent="0.25">
      <c r="A315" s="1" t="str">
        <f>"306/2012"</f>
        <v>306/2012</v>
      </c>
      <c r="B315" s="1" t="s">
        <v>136</v>
      </c>
      <c r="C315" s="1" t="s">
        <v>1683</v>
      </c>
      <c r="D315" s="1" t="str">
        <f>CONCATENATE("137-2012-EVV",CHAR(10),"2012/S 002-0015406 od 30.04.2012.")</f>
        <v>137-2012-EVV
2012/S 002-0015406 od 30.04.2012.</v>
      </c>
      <c r="E315" s="1" t="s">
        <v>97</v>
      </c>
      <c r="F315" s="1" t="str">
        <f>"2.721.600,00"</f>
        <v>2.721.600,00</v>
      </c>
      <c r="G315" s="1" t="str">
        <f>CONCATENATE("30.07.2012.",CHAR(10),"2 godine")</f>
        <v>30.07.2012.
2 godine</v>
      </c>
      <c r="H315" s="1" t="str">
        <f>CONCATENATE("OMEGA SOFTWARE D.O.O., ZAGREB-SLOBOŠTINA")</f>
        <v>OMEGA SOFTWARE D.O.O., ZAGREB-SLOBOŠTINA</v>
      </c>
      <c r="I315" s="1" t="s">
        <v>171</v>
      </c>
      <c r="J315" s="1" t="str">
        <f>SUBSTITUTE(SUBSTITUTE(SUBSTITUTE("3,261,516.13",".","-"),",","."),"-",",")</f>
        <v>3.261.516,13</v>
      </c>
      <c r="K315" s="2"/>
    </row>
    <row r="316" spans="1:11" ht="78.75" x14ac:dyDescent="0.25">
      <c r="A316" s="1" t="str">
        <f>"307/2012"</f>
        <v>307/2012</v>
      </c>
      <c r="B316" s="1" t="s">
        <v>26</v>
      </c>
      <c r="C316" s="1" t="s">
        <v>172</v>
      </c>
      <c r="D316" s="1" t="str">
        <f>"130-2012-EVV"</f>
        <v>130-2012-EVV</v>
      </c>
      <c r="E316" s="1" t="s">
        <v>97</v>
      </c>
      <c r="F316" s="1" t="str">
        <f>"5.538.867,00"</f>
        <v>5.538.867,00</v>
      </c>
      <c r="G316" s="1" t="str">
        <f>CONCATENATE("30.07.2012.",CHAR(10),"1 godina od dana obostranog potpisa Ugovora")</f>
        <v>30.07.2012.
1 godina od dana obostranog potpisa Ugovora</v>
      </c>
      <c r="H316" s="1" t="str">
        <f>CONCATENATE("EBC SISTEMI D.O.O., ZAGREB",CHAR(10),"STORM COMPUTERS D.O.O., ZAGREB")</f>
        <v>EBC SISTEMI D.O.O., ZAGREB
STORM COMPUTERS D.O.O., ZAGREB</v>
      </c>
      <c r="I316" s="1" t="s">
        <v>173</v>
      </c>
      <c r="J316" s="1" t="str">
        <f>SUBSTITUTE(SUBSTITUTE(SUBSTITUTE("6,923,514.90",".","-"),",","."),"-",",")</f>
        <v>6.923.514,90</v>
      </c>
      <c r="K316" s="2"/>
    </row>
    <row r="317" spans="1:11" ht="63" x14ac:dyDescent="0.25">
      <c r="A317" s="1" t="str">
        <f>"308/2012"</f>
        <v>308/2012</v>
      </c>
      <c r="B317" s="1" t="s">
        <v>14</v>
      </c>
      <c r="C317" s="1" t="s">
        <v>1684</v>
      </c>
      <c r="D317" s="1" t="str">
        <f>CONCATENATE("112-2012-EMV",CHAR(10),"2012/S 002-0014086 od 25.04.2012.")</f>
        <v>112-2012-EMV
2012/S 002-0014086 od 25.04.2012.</v>
      </c>
      <c r="E317" s="1" t="s">
        <v>15</v>
      </c>
      <c r="F317" s="1" t="str">
        <f>"69.478,00"</f>
        <v>69.478,00</v>
      </c>
      <c r="G317" s="1" t="str">
        <f>CONCATENATE("31.07.2012.",CHAR(10),"do konzumiranja ugovorene količine usluga, a najduže 1 godinu")</f>
        <v>31.07.2012.
do konzumiranja ugovorene količine usluga, a najduže 1 godinu</v>
      </c>
      <c r="H317" s="1" t="str">
        <f>CONCATENATE("ATEST - KONTROLA D.O.O., ZAGREB")</f>
        <v>ATEST - KONTROLA D.O.O., ZAGREB</v>
      </c>
      <c r="I317" s="1" t="s">
        <v>89</v>
      </c>
      <c r="J317" s="1" t="str">
        <f>SUBSTITUTE(SUBSTITUTE(SUBSTITUTE("69,195.69",".","-"),",","."),"-",",")</f>
        <v>69.195,69</v>
      </c>
      <c r="K317" s="2"/>
    </row>
    <row r="318" spans="1:11" ht="63" x14ac:dyDescent="0.25">
      <c r="A318" s="1" t="str">
        <f>"309/2012"</f>
        <v>309/2012</v>
      </c>
      <c r="B318" s="1" t="s">
        <v>14</v>
      </c>
      <c r="C318" s="1" t="s">
        <v>1685</v>
      </c>
      <c r="D318" s="1" t="str">
        <f>CONCATENATE("841-2012-EMV",CHAR(10),"2012/S 002-0015292 od 30.04.2012.")</f>
        <v>841-2012-EMV
2012/S 002-0015292 od 30.04.2012.</v>
      </c>
      <c r="E318" s="1" t="s">
        <v>15</v>
      </c>
      <c r="F318" s="1" t="str">
        <f>"493.909,00"</f>
        <v>493.909,00</v>
      </c>
      <c r="G318" s="1" t="str">
        <f>CONCATENATE("31.07.2012.",CHAR(10),"1 mjesec")</f>
        <v>31.07.2012.
1 mjesec</v>
      </c>
      <c r="H318" s="1" t="str">
        <f>CONCATENATE("PEEK PROMET D.O.O., ZAGREB")</f>
        <v>PEEK PROMET D.O.O., ZAGREB</v>
      </c>
      <c r="I318" s="1" t="s">
        <v>152</v>
      </c>
      <c r="J318" s="1" t="str">
        <f>SUBSTITUTE(SUBSTITUTE(SUBSTITUTE("369,538.31",".","-"),",","."),"-",",")</f>
        <v>369.538,31</v>
      </c>
      <c r="K318" s="2"/>
    </row>
    <row r="319" spans="1:11" ht="47.25" x14ac:dyDescent="0.25">
      <c r="A319" s="1" t="str">
        <f>"310/2012"</f>
        <v>310/2012</v>
      </c>
      <c r="B319" s="1" t="s">
        <v>14</v>
      </c>
      <c r="C319" s="1" t="s">
        <v>1686</v>
      </c>
      <c r="D319" s="1" t="str">
        <f>CONCATENATE("28-2012-EMV",CHAR(10),"2012/S 002-0006672 od 23.03.2012.")</f>
        <v>28-2012-EMV
2012/S 002-0006672 od 23.03.2012.</v>
      </c>
      <c r="E319" s="1" t="s">
        <v>15</v>
      </c>
      <c r="F319" s="1" t="str">
        <f>"142.104,56"</f>
        <v>142.104,56</v>
      </c>
      <c r="G319" s="1" t="str">
        <f>CONCATENATE("31.07.2012.",CHAR(10),"12 mjeseci od dana obostranog potpisa Ugovora")</f>
        <v>31.07.2012.
12 mjeseci od dana obostranog potpisa Ugovora</v>
      </c>
      <c r="H319" s="1" t="str">
        <f>CONCATENATE("ŽITNJAK D.D., ZAGREB")</f>
        <v>ŽITNJAK D.D., ZAGREB</v>
      </c>
      <c r="I319" s="1" t="s">
        <v>174</v>
      </c>
      <c r="J319" s="1" t="str">
        <f>SUBSTITUTE(SUBSTITUTE(SUBSTITUTE("164,900.16",".","-"),",","."),"-",",")</f>
        <v>164.900,16</v>
      </c>
      <c r="K319" s="2"/>
    </row>
    <row r="320" spans="1:11" ht="78.75" x14ac:dyDescent="0.25">
      <c r="A320" s="1" t="str">
        <f>"311/2012"</f>
        <v>311/2012</v>
      </c>
      <c r="B320" s="1" t="s">
        <v>136</v>
      </c>
      <c r="C320" s="1" t="s">
        <v>1687</v>
      </c>
      <c r="D320" s="1" t="str">
        <f>CONCATENATE("EV-970-009/2011",CHAR(10),"N-02-V-151651-291211 od 30.12.2011.")</f>
        <v>EV-970-009/2011
N-02-V-151651-291211 od 30.12.2011.</v>
      </c>
      <c r="E320" s="1" t="s">
        <v>139</v>
      </c>
      <c r="F320" s="1" t="str">
        <f>"1.265.915,00"</f>
        <v>1.265.915,00</v>
      </c>
      <c r="G320" s="1" t="str">
        <f>CONCATENATE("01.08.2012.",CHAR(10),"4 godine")</f>
        <v>01.08.2012.
4 godine</v>
      </c>
      <c r="H320" s="1" t="str">
        <f>CONCATENATE("DILJEXPORT D.O.O., ZAGREB",CHAR(10),"ZVIJEZDA D.D., ZAGREB",CHAR(10),"ŽITNJAK D.D., ZAGREB")</f>
        <v>DILJEXPORT D.O.O., ZAGREB
ZVIJEZDA D.D., ZAGREB
ŽITNJAK D.D., ZAGREB</v>
      </c>
      <c r="I320" s="2"/>
      <c r="J320" s="1"/>
      <c r="K320" s="2"/>
    </row>
    <row r="321" spans="1:11" ht="94.5" x14ac:dyDescent="0.25">
      <c r="A321" s="1" t="str">
        <f>"312/2012"</f>
        <v>312/2012</v>
      </c>
      <c r="B321" s="1" t="s">
        <v>136</v>
      </c>
      <c r="C321" s="1" t="s">
        <v>1688</v>
      </c>
      <c r="D321" s="1" t="str">
        <f>CONCATENATE("EV-970-009/2011",CHAR(10),"N-02-V-151651-291211 od 30.12.2011.")</f>
        <v>EV-970-009/2011
N-02-V-151651-291211 od 30.12.2011.</v>
      </c>
      <c r="E321" s="1" t="s">
        <v>139</v>
      </c>
      <c r="F321" s="1" t="str">
        <f>"1.243.535,00"</f>
        <v>1.243.535,00</v>
      </c>
      <c r="G321" s="1" t="str">
        <f>CONCATENATE("01.08.2012.",CHAR(10),"4 godine")</f>
        <v>01.08.2012.
4 godine</v>
      </c>
      <c r="H321" s="1" t="str">
        <f>CONCATENATE("DILJEXPORT D.O.O., ZAGREB",CHAR(10),"ZVIJEZDA D.D., ZAGREB",CHAR(10),"AGRO-VIR D.O.O., ZAGREB")</f>
        <v>DILJEXPORT D.O.O., ZAGREB
ZVIJEZDA D.D., ZAGREB
AGRO-VIR D.O.O., ZAGREB</v>
      </c>
      <c r="I321" s="2"/>
      <c r="J321" s="1"/>
      <c r="K321" s="2"/>
    </row>
    <row r="322" spans="1:11" ht="110.25" x14ac:dyDescent="0.25">
      <c r="A322" s="1" t="str">
        <f>"313/2012"</f>
        <v>313/2012</v>
      </c>
      <c r="B322" s="1" t="s">
        <v>136</v>
      </c>
      <c r="C322" s="1" t="s">
        <v>1689</v>
      </c>
      <c r="D322" s="1" t="str">
        <f>CONCATENATE("EV-970-009/2011",CHAR(10),"N-02-V-151651-291211 od 30.12.2011.")</f>
        <v>EV-970-009/2011
N-02-V-151651-291211 od 30.12.2011.</v>
      </c>
      <c r="E322" s="1" t="s">
        <v>139</v>
      </c>
      <c r="F322" s="1" t="str">
        <f>"1.955.726,50"</f>
        <v>1.955.726,50</v>
      </c>
      <c r="G322" s="1" t="str">
        <f>CONCATENATE("01.08.2012.",CHAR(10),"4 godine")</f>
        <v>01.08.2012.
4 godine</v>
      </c>
      <c r="H322" s="1" t="str">
        <f>CONCATENATE("ZVIJEZDA D.D., ZAGREB",CHAR(10),"ŽITNJAK D.D., ZAGREB",CHAR(10),"AGRO-VIR D.O.O., ZAGREB")</f>
        <v>ZVIJEZDA D.D., ZAGREB
ŽITNJAK D.D., ZAGREB
AGRO-VIR D.O.O., ZAGREB</v>
      </c>
      <c r="I322" s="2"/>
      <c r="J322" s="1"/>
      <c r="K322" s="2"/>
    </row>
    <row r="323" spans="1:11" ht="47.25" x14ac:dyDescent="0.25">
      <c r="A323" s="1" t="str">
        <f>"314/2012"</f>
        <v>314/2012</v>
      </c>
      <c r="B323" s="1" t="s">
        <v>14</v>
      </c>
      <c r="C323" s="1" t="s">
        <v>1690</v>
      </c>
      <c r="D323" s="1" t="str">
        <f>CONCATENATE("245-2012-EMV",CHAR(10),"2012/S 002-0019607 od 15.05.2012.")</f>
        <v>245-2012-EMV
2012/S 002-0019607 od 15.05.2012.</v>
      </c>
      <c r="E323" s="1" t="s">
        <v>15</v>
      </c>
      <c r="F323" s="1" t="str">
        <f>"92.890,00"</f>
        <v>92.890,00</v>
      </c>
      <c r="G323" s="1" t="str">
        <f>CONCATENATE("02.08.2012.",CHAR(10),"odmah, počevši od dana obostranog potpisa Ugovora")</f>
        <v>02.08.2012.
odmah, počevši od dana obostranog potpisa Ugovora</v>
      </c>
      <c r="H323" s="1" t="str">
        <f>CONCATENATE("UREDSKI SISTEMI D.O.O., OBOROVO")</f>
        <v>UREDSKI SISTEMI D.O.O., OBOROVO</v>
      </c>
      <c r="I323" s="1" t="s">
        <v>175</v>
      </c>
      <c r="J323" s="1" t="str">
        <f>SUBSTITUTE(SUBSTITUTE(SUBSTITUTE("114,192.82",".","-"),",","."),"-",",")</f>
        <v>114.192,82</v>
      </c>
      <c r="K323" s="2"/>
    </row>
    <row r="324" spans="1:11" ht="47.25" x14ac:dyDescent="0.25">
      <c r="A324" s="1" t="str">
        <f>"315/2012"</f>
        <v>315/2012</v>
      </c>
      <c r="B324" s="1" t="s">
        <v>14</v>
      </c>
      <c r="C324" s="1" t="s">
        <v>1691</v>
      </c>
      <c r="D324" s="1" t="str">
        <f>CONCATENATE("486-2012-EMV",CHAR(10),"2012/S 015-0037646 od 06.07.2012.")</f>
        <v>486-2012-EMV
2012/S 015-0037646 od 06.07.2012.</v>
      </c>
      <c r="E324" s="1" t="s">
        <v>40</v>
      </c>
      <c r="F324" s="1" t="str">
        <f>"223.713,68"</f>
        <v>223.713,68</v>
      </c>
      <c r="G324" s="1" t="str">
        <f>CONCATENATE("23.07.2012.",CHAR(10),"24.07.2012.-31..07.2012. i 31.07.2012.-07.08.2012.")</f>
        <v>23.07.2012.
24.07.2012.-31..07.2012. i 31.07.2012.-07.08.2012.</v>
      </c>
      <c r="H324" s="1" t="str">
        <f>CONCATENATE("ZAGREBAČKI HOLDING D.O.O., PODRUŽNICA VLADIMIR NAZOR, ZAGREB")</f>
        <v>ZAGREBAČKI HOLDING D.O.O., PODRUŽNICA VLADIMIR NAZOR, ZAGREB</v>
      </c>
      <c r="I324" s="1" t="s">
        <v>176</v>
      </c>
      <c r="J324" s="1" t="str">
        <f>SUBSTITUTE(SUBSTITUTE(SUBSTITUTE("242,687.73",".","-"),",","."),"-",",")</f>
        <v>242.687,73</v>
      </c>
      <c r="K324" s="2"/>
    </row>
    <row r="325" spans="1:11" ht="47.25" x14ac:dyDescent="0.25">
      <c r="A325" s="1" t="str">
        <f>"A-5/2012"</f>
        <v>A-5/2012</v>
      </c>
      <c r="B325" s="1" t="s">
        <v>11</v>
      </c>
      <c r="C325" s="1" t="s">
        <v>1692</v>
      </c>
      <c r="D325" s="1" t="str">
        <f>"EV-572-012/2011"</f>
        <v>EV-572-012/2011</v>
      </c>
      <c r="E325" s="2"/>
      <c r="F325" s="1" t="str">
        <f>"0,00"</f>
        <v>0,00</v>
      </c>
      <c r="G325" s="1" t="str">
        <f>CONCATENATE("03.08.2012.",CHAR(10),"do 15. rujna 2012.")</f>
        <v>03.08.2012.
do 15. rujna 2012.</v>
      </c>
      <c r="H325" s="1" t="str">
        <f>CONCATENATE("TEH-GRADNJA D.O.O., ZAGREB")</f>
        <v>TEH-GRADNJA D.O.O., ZAGREB</v>
      </c>
      <c r="I325" s="2"/>
      <c r="J325" s="1"/>
      <c r="K325" s="2"/>
    </row>
    <row r="326" spans="1:11" ht="47.25" x14ac:dyDescent="0.25">
      <c r="A326" s="1" t="str">
        <f>"316/2012"</f>
        <v>316/2012</v>
      </c>
      <c r="B326" s="1" t="s">
        <v>14</v>
      </c>
      <c r="C326" s="1" t="s">
        <v>1693</v>
      </c>
      <c r="D326" s="1" t="str">
        <f>CONCATENATE("508-2012-EMV",CHAR(10),"2012/S 015-0041638 od 17.07.2012.")</f>
        <v>508-2012-EMV
2012/S 015-0041638 od 17.07.2012.</v>
      </c>
      <c r="E326" s="1" t="s">
        <v>40</v>
      </c>
      <c r="F326" s="1" t="str">
        <f>"528.008,88"</f>
        <v>528.008,88</v>
      </c>
      <c r="G326" s="1" t="str">
        <f>CONCATENATE("03.08.2012.",CHAR(10),"tijekom 1 godine po obostranom potpisu Ugovora")</f>
        <v>03.08.2012.
tijekom 1 godine po obostranom potpisu Ugovora</v>
      </c>
      <c r="H326" s="1" t="str">
        <f>CONCATENATE("VETERINARSKA STANICA GRADA ZAGREBA D.O.O., ZAGREB")</f>
        <v>VETERINARSKA STANICA GRADA ZAGREBA D.O.O., ZAGREB</v>
      </c>
      <c r="I326" s="1" t="s">
        <v>177</v>
      </c>
      <c r="J326" s="1" t="str">
        <f>SUBSTITUTE(SUBSTITUTE(SUBSTITUTE("660,000.00",".","-"),",","."),"-",",")</f>
        <v>660.000,00</v>
      </c>
      <c r="K326" s="2"/>
    </row>
    <row r="327" spans="1:11" ht="63" x14ac:dyDescent="0.25">
      <c r="A327" s="1" t="str">
        <f>"A-6/2012"</f>
        <v>A-6/2012</v>
      </c>
      <c r="B327" s="1" t="s">
        <v>11</v>
      </c>
      <c r="C327" s="1" t="s">
        <v>1694</v>
      </c>
      <c r="D327" s="1" t="str">
        <f>"EV-154-006/2011"</f>
        <v>EV-154-006/2011</v>
      </c>
      <c r="E327" s="2"/>
      <c r="F327" s="1" t="str">
        <f>"0,00"</f>
        <v>0,00</v>
      </c>
      <c r="G327" s="1" t="str">
        <f>CONCATENATE("06.08.2012.",CHAR(10),"isporuka predmeta ugovora po potrebi i nalogu naručitelja sve do sklapanja novog ugovora")</f>
        <v>06.08.2012.
isporuka predmeta ugovora po potrebi i nalogu naručitelja sve do sklapanja novog ugovora</v>
      </c>
      <c r="H327" s="1" t="str">
        <f>CONCATENATE("MARINO-LUČKO D.O.O., LUČKO")</f>
        <v>MARINO-LUČKO D.O.O., LUČKO</v>
      </c>
      <c r="I327" s="2"/>
      <c r="J327" s="1"/>
      <c r="K327" s="2"/>
    </row>
    <row r="328" spans="1:11" ht="94.5" x14ac:dyDescent="0.25">
      <c r="A328" s="1" t="str">
        <f>"317/2012"</f>
        <v>317/2012</v>
      </c>
      <c r="B328" s="1" t="s">
        <v>136</v>
      </c>
      <c r="C328" s="1" t="s">
        <v>1695</v>
      </c>
      <c r="D328" s="1" t="str">
        <f>CONCATENATE("111-2012-EMV",CHAR(10),"2012/S 002-0010033 od 06.04.2012.")</f>
        <v>111-2012-EMV
2012/S 002-0010033 od 06.04.2012.</v>
      </c>
      <c r="E328" s="1" t="s">
        <v>97</v>
      </c>
      <c r="F328" s="1" t="str">
        <f>"61.897,00"</f>
        <v>61.897,00</v>
      </c>
      <c r="G328" s="1" t="str">
        <f>CONCATENATE("07.08.2012.",CHAR(10),"2 godine")</f>
        <v>07.08.2012.
2 godine</v>
      </c>
      <c r="H328" s="1" t="str">
        <f>CONCATENATE("MERKANTILE D.D., ZAGREB")</f>
        <v>MERKANTILE D.D., ZAGREB</v>
      </c>
      <c r="I328" s="1" t="s">
        <v>178</v>
      </c>
      <c r="J328" s="1" t="str">
        <f>SUBSTITUTE(SUBSTITUTE(SUBSTITUTE("67,185.01",".","-"),",","."),"-",",")</f>
        <v>67.185,01</v>
      </c>
      <c r="K328" s="2"/>
    </row>
    <row r="329" spans="1:11" ht="94.5" x14ac:dyDescent="0.25">
      <c r="A329" s="1" t="str">
        <f>"318/2012"</f>
        <v>318/2012</v>
      </c>
      <c r="B329" s="1" t="s">
        <v>136</v>
      </c>
      <c r="C329" s="1" t="s">
        <v>1696</v>
      </c>
      <c r="D329" s="1" t="str">
        <f>CONCATENATE("111-2012-EMV",CHAR(10),"2012/S 002-0010033 od 06.04.2012.")</f>
        <v>111-2012-EMV
2012/S 002-0010033 od 06.04.2012.</v>
      </c>
      <c r="E329" s="1" t="s">
        <v>97</v>
      </c>
      <c r="F329" s="1" t="str">
        <f>"10.955,00"</f>
        <v>10.955,00</v>
      </c>
      <c r="G329" s="1" t="str">
        <f>CONCATENATE("07.08.2012.",CHAR(10),"2 godine")</f>
        <v>07.08.2012.
2 godine</v>
      </c>
      <c r="H329" s="1" t="str">
        <f>CONCATENATE("ALARM AUTOMATIKA D.O.O., RIJEKA")</f>
        <v>ALARM AUTOMATIKA D.O.O., RIJEKA</v>
      </c>
      <c r="I329" s="1" t="s">
        <v>179</v>
      </c>
      <c r="J329" s="1" t="str">
        <f>SUBSTITUTE(SUBSTITUTE(SUBSTITUTE("6,868.75",".","-"),",","."),"-",",")</f>
        <v>6.868,75</v>
      </c>
      <c r="K329" s="2"/>
    </row>
    <row r="330" spans="1:11" ht="94.5" x14ac:dyDescent="0.25">
      <c r="A330" s="1" t="str">
        <f>"319/2012"</f>
        <v>319/2012</v>
      </c>
      <c r="B330" s="1" t="s">
        <v>136</v>
      </c>
      <c r="C330" s="1" t="s">
        <v>1697</v>
      </c>
      <c r="D330" s="1" t="str">
        <f>CONCATENATE("111-2012-EMV",CHAR(10),"2012/S 002-0010033 od 06.04.2012.")</f>
        <v>111-2012-EMV
2012/S 002-0010033 od 06.04.2012.</v>
      </c>
      <c r="E330" s="1" t="s">
        <v>97</v>
      </c>
      <c r="F330" s="1" t="str">
        <f>"56.100,00"</f>
        <v>56.100,00</v>
      </c>
      <c r="G330" s="1" t="str">
        <f>CONCATENATE("07.08.2012.",CHAR(10),"2 godine")</f>
        <v>07.08.2012.
2 godine</v>
      </c>
      <c r="H330" s="1" t="str">
        <f>CONCATENATE("AUREL D.O.O., ZAGREB")</f>
        <v>AUREL D.O.O., ZAGREB</v>
      </c>
      <c r="I330" s="1" t="s">
        <v>110</v>
      </c>
      <c r="J330" s="1" t="str">
        <f>SUBSTITUTE(SUBSTITUTE(SUBSTITUTE("65,443.75",".","-"),",","."),"-",",")</f>
        <v>65.443,75</v>
      </c>
      <c r="K330" s="2"/>
    </row>
    <row r="331" spans="1:11" ht="63" x14ac:dyDescent="0.25">
      <c r="A331" s="1" t="str">
        <f>"320/2012"</f>
        <v>320/2012</v>
      </c>
      <c r="B331" s="1" t="s">
        <v>14</v>
      </c>
      <c r="C331" s="1" t="s">
        <v>1698</v>
      </c>
      <c r="D331" s="1" t="str">
        <f>CONCATENATE("1617-2012-EMV",CHAR(10),"2012/S 002-0024480 od 28.05.2012.")</f>
        <v>1617-2012-EMV
2012/S 002-0024480 od 28.05.2012.</v>
      </c>
      <c r="E331" s="1" t="s">
        <v>15</v>
      </c>
      <c r="F331" s="1" t="str">
        <f>"776.573,50"</f>
        <v>776.573,50</v>
      </c>
      <c r="G331" s="1" t="str">
        <f>CONCATENATE("07.08.2012.",CHAR(10),"sukcesivno tijekom 2012. računajući od dana uvođenja u posao")</f>
        <v>07.08.2012.
sukcesivno tijekom 2012. računajući od dana uvođenja u posao</v>
      </c>
      <c r="H331" s="1" t="str">
        <f>CONCATENATE("TEMPERA D.D., ZAGREB")</f>
        <v>TEMPERA D.D., ZAGREB</v>
      </c>
      <c r="I331" s="1" t="s">
        <v>180</v>
      </c>
      <c r="J331" s="1" t="str">
        <f>SUBSTITUTE(SUBSTITUTE(SUBSTITUTE("970,655.24",".","-"),",","."),"-",",")</f>
        <v>970.655,24</v>
      </c>
      <c r="K331" s="2"/>
    </row>
    <row r="332" spans="1:11" ht="47.25" x14ac:dyDescent="0.25">
      <c r="A332" s="1" t="str">
        <f>"321/2012"</f>
        <v>321/2012</v>
      </c>
      <c r="B332" s="1" t="s">
        <v>14</v>
      </c>
      <c r="C332" s="1" t="s">
        <v>1699</v>
      </c>
      <c r="D332" s="1" t="str">
        <f>CONCATENATE("506-2012-EMV",CHAR(10),"2012/S 015-0041169 od 16.07.2012.")</f>
        <v>506-2012-EMV
2012/S 015-0041169 od 16.07.2012.</v>
      </c>
      <c r="E332" s="1" t="s">
        <v>40</v>
      </c>
      <c r="F332" s="1" t="str">
        <f>"203.251,00"</f>
        <v>203.251,00</v>
      </c>
      <c r="G332" s="1" t="str">
        <f>CONCATENATE("07.08.2012.",CHAR(10),"do 15. prosinca 2012.")</f>
        <v>07.08.2012.
do 15. prosinca 2012.</v>
      </c>
      <c r="H332" s="1" t="str">
        <f>CONCATENATE("SVEUČILIŠTE U ZAGREBU - ŠUMARSKI FAKULTET, ZAGREB")</f>
        <v>SVEUČILIŠTE U ZAGREBU - ŠUMARSKI FAKULTET, ZAGREB</v>
      </c>
      <c r="I332" s="2"/>
      <c r="J332" s="1"/>
      <c r="K332" s="2"/>
    </row>
    <row r="333" spans="1:11" ht="47.25" x14ac:dyDescent="0.25">
      <c r="A333" s="1" t="str">
        <f>"322/2012"</f>
        <v>322/2012</v>
      </c>
      <c r="B333" s="1" t="s">
        <v>14</v>
      </c>
      <c r="C333" s="1" t="s">
        <v>1700</v>
      </c>
      <c r="D333" s="1" t="str">
        <f>CONCATENATE("1110-2012-EMV",CHAR(10),"2012/S 002-0014463 od 26.04.2012.")</f>
        <v>1110-2012-EMV
2012/S 002-0014463 od 26.04.2012.</v>
      </c>
      <c r="E333" s="1" t="s">
        <v>15</v>
      </c>
      <c r="F333" s="1" t="str">
        <f>"27.780,31"</f>
        <v>27.780,31</v>
      </c>
      <c r="G333" s="1" t="str">
        <f>CONCATENATE("07.08.2012.",CHAR(10),"90 dana, računajući od dana obostranog potpisa Ugovora")</f>
        <v>07.08.2012.
90 dana, računajući od dana obostranog potpisa Ugovora</v>
      </c>
      <c r="H333" s="1" t="str">
        <f>CONCATENATE("HELB D.O.O., DUGO SELO")</f>
        <v>HELB D.O.O., DUGO SELO</v>
      </c>
      <c r="I333" s="1" t="s">
        <v>21</v>
      </c>
      <c r="J333" s="1" t="str">
        <f>SUBSTITUTE(SUBSTITUTE(SUBSTITUTE("34,725.39",".","-"),",","."),"-",",")</f>
        <v>34.725,39</v>
      </c>
      <c r="K333" s="2"/>
    </row>
    <row r="334" spans="1:11" ht="78.75" x14ac:dyDescent="0.25">
      <c r="A334" s="1" t="str">
        <f>"323/2012"</f>
        <v>323/2012</v>
      </c>
      <c r="B334" s="1" t="s">
        <v>14</v>
      </c>
      <c r="C334" s="1" t="s">
        <v>1701</v>
      </c>
      <c r="D334" s="1" t="str">
        <f>CONCATENATE("1131-2012-EMV",CHAR(10),"2012/S 002-0015578 od 30.04.2012.")</f>
        <v>1131-2012-EMV
2012/S 002-0015578 od 30.04.2012.</v>
      </c>
      <c r="E334" s="1" t="s">
        <v>15</v>
      </c>
      <c r="F334" s="1" t="str">
        <f>"149.199,00"</f>
        <v>149.199,00</v>
      </c>
      <c r="G334" s="1" t="str">
        <f>CONCATENATE("08.08.2012.",CHAR(10),"od dana uvođenja u posao izvođača radova, do predaje završnog izvješća nadzornog ing. i oko. sit.")</f>
        <v>08.08.2012.
od dana uvođenja u posao izvođača radova, do predaje završnog izvješća nadzornog ing. i oko. sit.</v>
      </c>
      <c r="H334" s="1" t="str">
        <f>CONCATENATE("INSTITUT IGH D.D., ZAGREB")</f>
        <v>INSTITUT IGH D.D., ZAGREB</v>
      </c>
      <c r="I334" s="2"/>
      <c r="J334" s="1"/>
      <c r="K334" s="2"/>
    </row>
    <row r="335" spans="1:11" ht="47.25" x14ac:dyDescent="0.25">
      <c r="A335" s="1" t="str">
        <f>"R-2/2012"</f>
        <v>R-2/2012</v>
      </c>
      <c r="B335" s="1" t="s">
        <v>56</v>
      </c>
      <c r="C335" s="1" t="s">
        <v>1702</v>
      </c>
      <c r="D335" s="1" t="str">
        <f>"EM-365-005/2011"</f>
        <v>EM-365-005/2011</v>
      </c>
      <c r="E335" s="2"/>
      <c r="F335" s="1" t="str">
        <f>"0,00"</f>
        <v>0,00</v>
      </c>
      <c r="G335" s="1" t="str">
        <f>"08.08.2012."</f>
        <v>08.08.2012.</v>
      </c>
      <c r="H335" s="1" t="str">
        <f>CONCATENATE("IZBA MI D.O.O., DUGO SELO")</f>
        <v>IZBA MI D.O.O., DUGO SELO</v>
      </c>
      <c r="I335" s="2"/>
      <c r="J335" s="1"/>
      <c r="K335" s="2"/>
    </row>
    <row r="336" spans="1:11" ht="47.25" x14ac:dyDescent="0.25">
      <c r="A336" s="1" t="str">
        <f>"A-7/2012"</f>
        <v>A-7/2012</v>
      </c>
      <c r="B336" s="1" t="s">
        <v>11</v>
      </c>
      <c r="C336" s="1" t="s">
        <v>1703</v>
      </c>
      <c r="D336" s="1" t="str">
        <f>"EV-969-009/2011"</f>
        <v>EV-969-009/2011</v>
      </c>
      <c r="E336" s="2"/>
      <c r="F336" s="1" t="str">
        <f>"0,00"</f>
        <v>0,00</v>
      </c>
      <c r="G336" s="1" t="str">
        <f>CONCATENATE("09.08.2012.",CHAR(10),"120 dana, računajući od dana uvođenja u posao")</f>
        <v>09.08.2012.
120 dana, računajući od dana uvođenja u posao</v>
      </c>
      <c r="H336" s="1" t="str">
        <f>CONCATENATE("HM-PATRIA D.O.O., ZAGREB")</f>
        <v>HM-PATRIA D.O.O., ZAGREB</v>
      </c>
      <c r="I336" s="2"/>
      <c r="J336" s="1"/>
      <c r="K336" s="2"/>
    </row>
    <row r="337" spans="1:11" ht="94.5" x14ac:dyDescent="0.25">
      <c r="A337" s="1" t="str">
        <f>"324/2012"</f>
        <v>324/2012</v>
      </c>
      <c r="B337" s="1" t="s">
        <v>136</v>
      </c>
      <c r="C337" s="1" t="s">
        <v>1704</v>
      </c>
      <c r="D337" s="1" t="str">
        <f>CONCATENATE("111-2012-EMV",CHAR(10),"2012/S 002-0010033 od 06.04.2012.")</f>
        <v>111-2012-EMV
2012/S 002-0010033 od 06.04.2012.</v>
      </c>
      <c r="E337" s="1" t="s">
        <v>97</v>
      </c>
      <c r="F337" s="1" t="str">
        <f>"17.158,00"</f>
        <v>17.158,00</v>
      </c>
      <c r="G337" s="1" t="str">
        <f>CONCATENATE("09.08.2012.",CHAR(10),"2 godine")</f>
        <v>09.08.2012.
2 godine</v>
      </c>
      <c r="H337" s="1" t="str">
        <f>CONCATENATE("TEHNOPLAM D.O.O., ZAGREB")</f>
        <v>TEHNOPLAM D.O.O., ZAGREB</v>
      </c>
      <c r="I337" s="1" t="s">
        <v>181</v>
      </c>
      <c r="J337" s="1" t="str">
        <f>SUBSTITUTE(SUBSTITUTE(SUBSTITUTE("16,446.25",".","-"),",","."),"-",",")</f>
        <v>16.446,25</v>
      </c>
      <c r="K337" s="2"/>
    </row>
    <row r="338" spans="1:11" ht="141.75" x14ac:dyDescent="0.25">
      <c r="A338" s="1" t="str">
        <f>"325/2012"</f>
        <v>325/2012</v>
      </c>
      <c r="B338" s="1" t="s">
        <v>136</v>
      </c>
      <c r="C338" s="1" t="s">
        <v>1705</v>
      </c>
      <c r="D338" s="1" t="str">
        <f>CONCATENATE("111-2012-EMV",CHAR(10),"2012/S 002-0010033 od 06.04.2012.")</f>
        <v>111-2012-EMV
2012/S 002-0010033 od 06.04.2012.</v>
      </c>
      <c r="E338" s="1" t="s">
        <v>97</v>
      </c>
      <c r="F338" s="1" t="str">
        <f>"94.350,00"</f>
        <v>94.350,00</v>
      </c>
      <c r="G338" s="1" t="str">
        <f>CONCATENATE("09.08.2012.",CHAR(10),"2 godine")</f>
        <v>09.08.2012.
2 godine</v>
      </c>
      <c r="H338" s="1" t="str">
        <f>CONCATENATE("ABSOLUTE ALARMI SUSTAVI TEHNIČKE ZAŠTITE, ZAGREB")</f>
        <v>ABSOLUTE ALARMI SUSTAVI TEHNIČKE ZAŠTITE, ZAGREB</v>
      </c>
      <c r="I338" s="1" t="s">
        <v>182</v>
      </c>
      <c r="J338" s="1" t="str">
        <f>SUBSTITUTE(SUBSTITUTE(SUBSTITUTE("74,709.26",".","-"),",","."),"-",",")</f>
        <v>74.709,26</v>
      </c>
      <c r="K338" s="2"/>
    </row>
    <row r="339" spans="1:11" ht="47.25" x14ac:dyDescent="0.25">
      <c r="A339" s="1" t="str">
        <f>"326/2012"</f>
        <v>326/2012</v>
      </c>
      <c r="B339" s="1" t="s">
        <v>14</v>
      </c>
      <c r="C339" s="1" t="s">
        <v>1706</v>
      </c>
      <c r="D339" s="1" t="str">
        <f>CONCATENATE("1756-2012-EMV",CHAR(10),"2012/S 002-0025013 od 29.05.2012.")</f>
        <v>1756-2012-EMV
2012/S 002-0025013 od 29.05.2012.</v>
      </c>
      <c r="E339" s="1" t="s">
        <v>15</v>
      </c>
      <c r="F339" s="1" t="str">
        <f>"118.550,00"</f>
        <v>118.550,00</v>
      </c>
      <c r="G339" s="1" t="str">
        <f>CONCATENATE("09.08.2012.",CHAR(10),"8 dana, računajući od dana obostranog potpisa Ugovora")</f>
        <v>09.08.2012.
8 dana, računajući od dana obostranog potpisa Ugovora</v>
      </c>
      <c r="H339" s="1" t="str">
        <f>CONCATENATE("MULTISOFT D.O.O., ZAGREB")</f>
        <v>MULTISOFT D.O.O., ZAGREB</v>
      </c>
      <c r="I339" s="1" t="s">
        <v>45</v>
      </c>
      <c r="J339" s="1" t="str">
        <f>SUBSTITUTE(SUBSTITUTE(SUBSTITUTE("148,187.50",".","-"),",","."),"-",",")</f>
        <v>148.187,50</v>
      </c>
      <c r="K339" s="2"/>
    </row>
    <row r="340" spans="1:11" ht="47.25" x14ac:dyDescent="0.25">
      <c r="A340" s="1" t="str">
        <f>"A-8/2012"</f>
        <v>A-8/2012</v>
      </c>
      <c r="B340" s="1" t="s">
        <v>11</v>
      </c>
      <c r="C340" s="1" t="s">
        <v>1707</v>
      </c>
      <c r="D340" s="1" t="str">
        <f>"EM-271-009/2011"</f>
        <v>EM-271-009/2011</v>
      </c>
      <c r="E340" s="2"/>
      <c r="F340" s="1" t="str">
        <f>"0,00"</f>
        <v>0,00</v>
      </c>
      <c r="G340" s="1" t="str">
        <f>CONCATENATE("10.08.2012.",CHAR(10),"50 dana, računajući od dana isteka I. aneksa")</f>
        <v>10.08.2012.
50 dana, računajući od dana isteka I. aneksa</v>
      </c>
      <c r="H340" s="1" t="str">
        <f>CONCATENATE("HEDOM D.O.O., ZAGREB")</f>
        <v>HEDOM D.O.O., ZAGREB</v>
      </c>
      <c r="I340" s="2"/>
      <c r="J340" s="1"/>
      <c r="K340" s="2"/>
    </row>
    <row r="341" spans="1:11" ht="78.75" x14ac:dyDescent="0.25">
      <c r="A341" s="1" t="str">
        <f>"327/2012"</f>
        <v>327/2012</v>
      </c>
      <c r="B341" s="1" t="s">
        <v>26</v>
      </c>
      <c r="C341" s="1" t="s">
        <v>183</v>
      </c>
      <c r="D341" s="1" t="str">
        <f>"111-2012-EMV"</f>
        <v>111-2012-EMV</v>
      </c>
      <c r="E341" s="1" t="s">
        <v>97</v>
      </c>
      <c r="F341" s="1" t="str">
        <f>"41.000,00"</f>
        <v>41.000,00</v>
      </c>
      <c r="G341" s="1" t="str">
        <f>CONCATENATE("13.08.2012.",CHAR(10),"12 mjeseci od dana obostranog potpisa Ugovora")</f>
        <v>13.08.2012.
12 mjeseci od dana obostranog potpisa Ugovora</v>
      </c>
      <c r="H341" s="1" t="str">
        <f>CONCATENATE("MERKANTILE D.D., ZAGREB")</f>
        <v>MERKANTILE D.D., ZAGREB</v>
      </c>
      <c r="I341" s="1" t="s">
        <v>149</v>
      </c>
      <c r="J341" s="1" t="str">
        <f>SUBSTITUTE(SUBSTITUTE(SUBSTITUTE("48,746.88",".","-"),",","."),"-",",")</f>
        <v>48.746,88</v>
      </c>
      <c r="K341" s="2"/>
    </row>
    <row r="342" spans="1:11" ht="78.75" x14ac:dyDescent="0.25">
      <c r="A342" s="1" t="str">
        <f>"328/2012"</f>
        <v>328/2012</v>
      </c>
      <c r="B342" s="1" t="s">
        <v>26</v>
      </c>
      <c r="C342" s="1" t="s">
        <v>184</v>
      </c>
      <c r="D342" s="1" t="str">
        <f>"111-2012-EMV"</f>
        <v>111-2012-EMV</v>
      </c>
      <c r="E342" s="1" t="s">
        <v>97</v>
      </c>
      <c r="F342" s="1" t="str">
        <f>"28.050,00"</f>
        <v>28.050,00</v>
      </c>
      <c r="G342" s="1" t="str">
        <f>CONCATENATE("13.08.2012.",CHAR(10),"12 mjeseci od dana obostranog potpisa Ugovora")</f>
        <v>13.08.2012.
12 mjeseci od dana obostranog potpisa Ugovora</v>
      </c>
      <c r="H342" s="1" t="str">
        <f>CONCATENATE("AUREL D.O.O., ZAGREB")</f>
        <v>AUREL D.O.O., ZAGREB</v>
      </c>
      <c r="I342" s="1" t="s">
        <v>185</v>
      </c>
      <c r="J342" s="1" t="str">
        <f>SUBSTITUTE(SUBSTITUTE(SUBSTITUTE("32,962.50",".","-"),",","."),"-",",")</f>
        <v>32.962,50</v>
      </c>
      <c r="K342" s="2"/>
    </row>
    <row r="343" spans="1:11" ht="47.25" x14ac:dyDescent="0.25">
      <c r="A343" s="1" t="str">
        <f>"329/2012"</f>
        <v>329/2012</v>
      </c>
      <c r="B343" s="1" t="s">
        <v>14</v>
      </c>
      <c r="C343" s="1" t="s">
        <v>1708</v>
      </c>
      <c r="D343" s="1" t="str">
        <f>CONCATENATE("852-2012-EVV",CHAR(10),"2012/S 002-0013280 od 23.04.2012.")</f>
        <v>852-2012-EVV
2012/S 002-0013280 od 23.04.2012.</v>
      </c>
      <c r="E343" s="1" t="s">
        <v>15</v>
      </c>
      <c r="F343" s="1" t="str">
        <f>"926.875,00"</f>
        <v>926.875,00</v>
      </c>
      <c r="G343" s="1" t="str">
        <f>CONCATENATE("14.08.2012.",CHAR(10),"60 dana, računajući od dana obostranog potpisa Ugovora")</f>
        <v>14.08.2012.
60 dana, računajući od dana obostranog potpisa Ugovora</v>
      </c>
      <c r="H343" s="1" t="str">
        <f>CONCATENATE("AKING D.O.O., ZAGREB",CHAR(10),"GRAĐEVINSKI FAKULTET, ZAGREB",CHAR(10),"MARKIVA PROJEKT D.O.O., ZAGREB")</f>
        <v>AKING D.O.O., ZAGREB
GRAĐEVINSKI FAKULTET, ZAGREB
MARKIVA PROJEKT D.O.O., ZAGREB</v>
      </c>
      <c r="I343" s="1" t="s">
        <v>112</v>
      </c>
      <c r="J343" s="1" t="str">
        <f>SUBSTITUTE(SUBSTITUTE(SUBSTITUTE("1,158,593.76",".","-"),",","."),"-",",")</f>
        <v>1.158.593,76</v>
      </c>
      <c r="K343" s="2"/>
    </row>
    <row r="344" spans="1:11" ht="63" x14ac:dyDescent="0.25">
      <c r="A344" s="1" t="str">
        <f>"330/2012"</f>
        <v>330/2012</v>
      </c>
      <c r="B344" s="1" t="s">
        <v>14</v>
      </c>
      <c r="C344" s="1" t="s">
        <v>1709</v>
      </c>
      <c r="D344" s="1" t="str">
        <f>CONCATENATE("1085-2012-EMV",CHAR(10),"2012/S 002-0023217 od 24.05.2012.")</f>
        <v>1085-2012-EMV
2012/S 002-0023217 od 24.05.2012.</v>
      </c>
      <c r="E344" s="1" t="s">
        <v>15</v>
      </c>
      <c r="F344" s="1" t="str">
        <f>"87.126,00"</f>
        <v>87.126,00</v>
      </c>
      <c r="G344" s="1" t="str">
        <f>CONCATENATE("14.08.2012.",CHAR(10),"12 mjeseci, računajući od dana obostranog potpisa, prema pisanim nalozima naručitelja")</f>
        <v>14.08.2012.
12 mjeseci, računajući od dana obostranog potpisa, prema pisanim nalozima naručitelja</v>
      </c>
      <c r="H344" s="1" t="str">
        <f>CONCATENATE("OBRT ZA PROIZVODNJU I POSTAVLJANJE ROLETA RO-LO, ZAGREB")</f>
        <v>OBRT ZA PROIZVODNJU I POSTAVLJANJE ROLETA RO-LO, ZAGREB</v>
      </c>
      <c r="I344" s="1" t="s">
        <v>186</v>
      </c>
      <c r="J344" s="1" t="str">
        <f>SUBSTITUTE(SUBSTITUTE(SUBSTITUTE("108,066.88",".","-"),",","."),"-",",")</f>
        <v>108.066,88</v>
      </c>
      <c r="K344" s="2"/>
    </row>
    <row r="345" spans="1:11" ht="63" x14ac:dyDescent="0.25">
      <c r="A345" s="1" t="str">
        <f>"331/2012"</f>
        <v>331/2012</v>
      </c>
      <c r="B345" s="1" t="s">
        <v>14</v>
      </c>
      <c r="C345" s="1" t="s">
        <v>1710</v>
      </c>
      <c r="D345" s="1" t="str">
        <f>CONCATENATE("EV-738-012/2011",CHAR(10),"N-02-V-146153-291111 od 01.12.2011.")</f>
        <v>EV-738-012/2011
N-02-V-146153-291111 od 01.12.2011.</v>
      </c>
      <c r="E345" s="1" t="s">
        <v>15</v>
      </c>
      <c r="F345" s="1" t="str">
        <f>"822.774,00"</f>
        <v>822.774,00</v>
      </c>
      <c r="G345" s="1" t="str">
        <f>CONCATENATE("14.08.2012.",CHAR(10),"20 dana, računajući od dana uvođenja u posao")</f>
        <v>14.08.2012.
20 dana, računajući od dana uvođenja u posao</v>
      </c>
      <c r="H345" s="1" t="str">
        <f>CONCATENATE("ZAGREBAČKI HOLDING D.O.O., PODRUŽNICA ZRINJEVAC, ZAGREB")</f>
        <v>ZAGREBAČKI HOLDING D.O.O., PODRUŽNICA ZRINJEVAC, ZAGREB</v>
      </c>
      <c r="I345" s="1" t="s">
        <v>187</v>
      </c>
      <c r="J345" s="1" t="str">
        <f>CONCATENATE(SUBSTITUTE(SUBSTITUTE(SUBSTITUTE("1,028,467.51",".","-"),",","."),"-",","),CHAR(10),"konačno plaćeni iznos veći je od ugovorenog radi promjene stope PDV-a")</f>
        <v>1.028.467,51
konačno plaćeni iznos veći je od ugovorenog radi promjene stope PDV-a</v>
      </c>
      <c r="K345" s="2"/>
    </row>
    <row r="346" spans="1:11" ht="47.25" x14ac:dyDescent="0.25">
      <c r="A346" s="1" t="str">
        <f>"332/2012"</f>
        <v>332/2012</v>
      </c>
      <c r="B346" s="1" t="s">
        <v>14</v>
      </c>
      <c r="C346" s="1" t="s">
        <v>1711</v>
      </c>
      <c r="D346" s="1" t="str">
        <f>CONCATENATE("1957-2012-EMV",CHAR(10),"2012/S 002-0025663 od 30.05.2012.")</f>
        <v>1957-2012-EMV
2012/S 002-0025663 od 30.05.2012.</v>
      </c>
      <c r="E346" s="1" t="s">
        <v>15</v>
      </c>
      <c r="F346" s="1" t="str">
        <f>"264.200,00"</f>
        <v>264.200,00</v>
      </c>
      <c r="G346" s="1" t="str">
        <f>CONCATENATE("14.08.2012.",CHAR(10),"60 dana, računajući od dana uvođenja u posao")</f>
        <v>14.08.2012.
60 dana, računajući od dana uvođenja u posao</v>
      </c>
      <c r="H346" s="1" t="str">
        <f>CONCATENATE("TERMORAD D.O.O., ZAGREB")</f>
        <v>TERMORAD D.O.O., ZAGREB</v>
      </c>
      <c r="I346" s="1" t="s">
        <v>80</v>
      </c>
      <c r="J346" s="1" t="str">
        <f>SUBSTITUTE(SUBSTITUTE(SUBSTITUTE("328,505.00",".","-"),",","."),"-",",")</f>
        <v>328.505,00</v>
      </c>
      <c r="K346" s="2"/>
    </row>
    <row r="347" spans="1:11" ht="47.25" x14ac:dyDescent="0.25">
      <c r="A347" s="1" t="str">
        <f>"333/2012"</f>
        <v>333/2012</v>
      </c>
      <c r="B347" s="1" t="s">
        <v>14</v>
      </c>
      <c r="C347" s="1" t="s">
        <v>1712</v>
      </c>
      <c r="D347" s="1" t="str">
        <f>CONCATENATE("1096-2012-EMV",CHAR(10),"2012/S 002-0018226 od 10.05.2012.")</f>
        <v>1096-2012-EMV
2012/S 002-0018226 od 10.05.2012.</v>
      </c>
      <c r="E347" s="1" t="s">
        <v>15</v>
      </c>
      <c r="F347" s="1" t="str">
        <f>"208.845,10"</f>
        <v>208.845,10</v>
      </c>
      <c r="G347" s="1" t="str">
        <f>CONCATENATE("20.08.2012.",CHAR(10),"2 mjeseca, računajući od dana uvođenja u posao")</f>
        <v>20.08.2012.
2 mjeseca, računajući od dana uvođenja u posao</v>
      </c>
      <c r="H347" s="1" t="str">
        <f>CONCATENATE("SPEKTAR GRADNJA D.O.O., ZAGREB")</f>
        <v>SPEKTAR GRADNJA D.O.O., ZAGREB</v>
      </c>
      <c r="I347" s="1" t="s">
        <v>188</v>
      </c>
      <c r="J347" s="1" t="str">
        <f>SUBSTITUTE(SUBSTITUTE(SUBSTITUTE("261,055.35",".","-"),",","."),"-",",")</f>
        <v>261.055,35</v>
      </c>
      <c r="K347" s="2"/>
    </row>
    <row r="348" spans="1:11" ht="78.75" x14ac:dyDescent="0.25">
      <c r="A348" s="1" t="str">
        <f>"334/2012"</f>
        <v>334/2012</v>
      </c>
      <c r="B348" s="1" t="s">
        <v>26</v>
      </c>
      <c r="C348" s="1" t="s">
        <v>189</v>
      </c>
      <c r="D348" s="1" t="str">
        <f>"111-2012-EMV"</f>
        <v>111-2012-EMV</v>
      </c>
      <c r="E348" s="1" t="s">
        <v>97</v>
      </c>
      <c r="F348" s="1" t="str">
        <f>"47.175,00"</f>
        <v>47.175,00</v>
      </c>
      <c r="G348" s="1" t="str">
        <f>CONCATENATE("20.08.2012.",CHAR(10),"12 mjeseci od dana obostranog potpisa Ugovora")</f>
        <v>20.08.2012.
12 mjeseci od dana obostranog potpisa Ugovora</v>
      </c>
      <c r="H348" s="1" t="str">
        <f>CONCATENATE("ABSOLUTE ALARMI SUSTAVI TEHNIČKE ZAŠTITE, ZAGREB")</f>
        <v>ABSOLUTE ALARMI SUSTAVI TEHNIČKE ZAŠTITE, ZAGREB</v>
      </c>
      <c r="I348" s="1" t="s">
        <v>190</v>
      </c>
      <c r="J348" s="1" t="str">
        <f>SUBSTITUTE(SUBSTITUTE(SUBSTITUTE("30,048.13",".","-"),",","."),"-",",")</f>
        <v>30.048,13</v>
      </c>
      <c r="K348" s="2"/>
    </row>
    <row r="349" spans="1:11" ht="47.25" x14ac:dyDescent="0.25">
      <c r="A349" s="1" t="str">
        <f>"335/2012"</f>
        <v>335/2012</v>
      </c>
      <c r="B349" s="1" t="s">
        <v>14</v>
      </c>
      <c r="C349" s="1" t="s">
        <v>1713</v>
      </c>
      <c r="D349" s="1" t="str">
        <f>CONCATENATE("833-2012-EMV",CHAR(10),"2012/S 002-0018466 od 10.05.2012.")</f>
        <v>833-2012-EMV
2012/S 002-0018466 od 10.05.2012.</v>
      </c>
      <c r="E349" s="1" t="s">
        <v>15</v>
      </c>
      <c r="F349" s="1" t="str">
        <f>"72.000,00"</f>
        <v>72.000,00</v>
      </c>
      <c r="G349" s="1" t="str">
        <f>CONCATENATE("20.08.2012.",CHAR(10),"90 dana, računajući od dana obostranog potpisa Ugovora")</f>
        <v>20.08.2012.
90 dana, računajući od dana obostranog potpisa Ugovora</v>
      </c>
      <c r="H349" s="1" t="str">
        <f>CONCATENATE("CAPITAL ING D.O.O., ZAGREB",CHAR(10),"ELIPSA - S.Z. D.O.O., ZAGREB")</f>
        <v>CAPITAL ING D.O.O., ZAGREB
ELIPSA - S.Z. D.O.O., ZAGREB</v>
      </c>
      <c r="I349" s="1" t="s">
        <v>191</v>
      </c>
      <c r="J349" s="1" t="str">
        <f>SUBSTITUTE(SUBSTITUTE(SUBSTITUTE("87,500.00",".","-"),",","."),"-",",")</f>
        <v>87.500,00</v>
      </c>
      <c r="K349" s="2"/>
    </row>
    <row r="350" spans="1:11" ht="47.25" x14ac:dyDescent="0.25">
      <c r="A350" s="1" t="str">
        <f>"336/2012"</f>
        <v>336/2012</v>
      </c>
      <c r="B350" s="1" t="s">
        <v>14</v>
      </c>
      <c r="C350" s="1" t="s">
        <v>1714</v>
      </c>
      <c r="D350" s="1" t="str">
        <f>CONCATENATE("430-2012-EMV",CHAR(10),"2012/S 002-0013042 od 20.04.2012.")</f>
        <v>430-2012-EMV
2012/S 002-0013042 od 20.04.2012.</v>
      </c>
      <c r="E350" s="1" t="s">
        <v>15</v>
      </c>
      <c r="F350" s="1" t="str">
        <f>"760.108,00"</f>
        <v>760.108,00</v>
      </c>
      <c r="G350" s="1" t="str">
        <f>CONCATENATE("21.08.2012.",CHAR(10),"2 mjeseca, računajući od dana uvođenja u posao")</f>
        <v>21.08.2012.
2 mjeseca, računajući od dana uvođenja u posao</v>
      </c>
      <c r="H350" s="1" t="str">
        <f>CONCATENATE("TERMORAD D.O.O., ZAGREB")</f>
        <v>TERMORAD D.O.O., ZAGREB</v>
      </c>
      <c r="I350" s="1" t="s">
        <v>192</v>
      </c>
      <c r="J350" s="1" t="str">
        <f>SUBSTITUTE(SUBSTITUTE(SUBSTITUTE("840,002.57",".","-"),",","."),"-",",")</f>
        <v>840.002,57</v>
      </c>
      <c r="K350" s="2"/>
    </row>
    <row r="351" spans="1:11" ht="78.75" x14ac:dyDescent="0.25">
      <c r="A351" s="1" t="str">
        <f>"337/2012"</f>
        <v>337/2012</v>
      </c>
      <c r="B351" s="1" t="s">
        <v>14</v>
      </c>
      <c r="C351" s="1" t="s">
        <v>1715</v>
      </c>
      <c r="D351" s="1" t="str">
        <f>CONCATENATE("1962-2012-EMV",CHAR(10),"2012/S 002-0023288 od 24.05.2012.")</f>
        <v>1962-2012-EMV
2012/S 002-0023288 od 24.05.2012.</v>
      </c>
      <c r="E351" s="1" t="s">
        <v>15</v>
      </c>
      <c r="F351" s="1" t="str">
        <f>"36.000,00"</f>
        <v>36.000,00</v>
      </c>
      <c r="G351" s="1" t="str">
        <f>CONCATENATE("21.08.2012.",CHAR(10),"180 dana od dana uvođenja u posao")</f>
        <v>21.08.2012.
180 dana od dana uvođenja u posao</v>
      </c>
      <c r="H351" s="1" t="str">
        <f>CONCATENATE("INTERKONZALTING D.O.O., ZAGREB")</f>
        <v>INTERKONZALTING D.O.O., ZAGREB</v>
      </c>
      <c r="I351" s="1" t="s">
        <v>193</v>
      </c>
      <c r="J351" s="1" t="str">
        <f>SUBSTITUTE(SUBSTITUTE(SUBSTITUTE("45,000.00",".","-"),",","."),"-",",")</f>
        <v>45.000,00</v>
      </c>
      <c r="K351" s="2"/>
    </row>
    <row r="352" spans="1:11" ht="78.75" x14ac:dyDescent="0.25">
      <c r="A352" s="1" t="str">
        <f>"338/2012"</f>
        <v>338/2012</v>
      </c>
      <c r="B352" s="1" t="s">
        <v>14</v>
      </c>
      <c r="C352" s="1" t="s">
        <v>1716</v>
      </c>
      <c r="D352" s="1" t="str">
        <f>CONCATENATE("724-2012-EMV",CHAR(10),"2012/S 002-0017493 od 08.05.2012.")</f>
        <v>724-2012-EMV
2012/S 002-0017493 od 08.05.2012.</v>
      </c>
      <c r="E352" s="1" t="s">
        <v>15</v>
      </c>
      <c r="F352" s="1" t="str">
        <f>"59.500,00"</f>
        <v>59.500,00</v>
      </c>
      <c r="G352" s="1" t="str">
        <f>CONCATENATE("22.08.2012.",CHAR(10),"ug. usluge izvr.i prema rok. i dinamici izvođenja radova, od dana uvođ. u posao do pred. zav. izvj.")</f>
        <v>22.08.2012.
ug. usluge izvr.i prema rok. i dinamici izvođenja radova, od dana uvođ. u posao do pred. zav. izvj.</v>
      </c>
      <c r="H352" s="1" t="str">
        <f>CONCATENATE("ZEM NADZOR D.O.O., ZAGREB",CHAR(10),"PROMPT D.O.O., ZAGREB")</f>
        <v>ZEM NADZOR D.O.O., ZAGREB
PROMPT D.O.O., ZAGREB</v>
      </c>
      <c r="I352" s="2"/>
      <c r="J352" s="1"/>
      <c r="K352" s="2"/>
    </row>
    <row r="353" spans="1:11" ht="47.25" x14ac:dyDescent="0.25">
      <c r="A353" s="1" t="str">
        <f>"339/2012"</f>
        <v>339/2012</v>
      </c>
      <c r="B353" s="1" t="s">
        <v>14</v>
      </c>
      <c r="C353" s="1" t="s">
        <v>1717</v>
      </c>
      <c r="D353" s="1" t="str">
        <f>CONCATENATE("1098-2012-EMV",CHAR(10),"2012/S 002-0014746 od 27.04.2012.")</f>
        <v>1098-2012-EMV
2012/S 002-0014746 od 27.04.2012.</v>
      </c>
      <c r="E353" s="1" t="s">
        <v>15</v>
      </c>
      <c r="F353" s="1" t="str">
        <f>"83.257,25"</f>
        <v>83.257,25</v>
      </c>
      <c r="G353" s="1" t="str">
        <f>CONCATENATE("22.08.2012.",CHAR(10),"60 dana, računajući od dana uvođenja u posao")</f>
        <v>22.08.2012.
60 dana, računajući od dana uvođenja u posao</v>
      </c>
      <c r="H353" s="1" t="str">
        <f>CONCATENATE("TEH PROJEKT HIDRO D.O.O., RIJEKA")</f>
        <v>TEH PROJEKT HIDRO D.O.O., RIJEKA</v>
      </c>
      <c r="I353" s="1" t="s">
        <v>194</v>
      </c>
      <c r="J353" s="1" t="str">
        <f>SUBSTITUTE(SUBSTITUTE(SUBSTITUTE("89,738.75",".","-"),",","."),"-",",")</f>
        <v>89.738,75</v>
      </c>
      <c r="K353" s="2"/>
    </row>
    <row r="354" spans="1:11" ht="47.25" x14ac:dyDescent="0.25">
      <c r="A354" s="1" t="str">
        <f>"340/2012"</f>
        <v>340/2012</v>
      </c>
      <c r="B354" s="1" t="s">
        <v>14</v>
      </c>
      <c r="C354" s="1" t="s">
        <v>1718</v>
      </c>
      <c r="D354" s="1" t="str">
        <f>CONCATENATE("840-2012-EMV",CHAR(10),"2012/S 002-0007493 od 28.03.2012.")</f>
        <v>840-2012-EMV
2012/S 002-0007493 od 28.03.2012.</v>
      </c>
      <c r="E354" s="1" t="s">
        <v>15</v>
      </c>
      <c r="F354" s="1" t="str">
        <f>"583.915,00"</f>
        <v>583.915,00</v>
      </c>
      <c r="G354" s="1" t="str">
        <f>CONCATENATE("23.08.2012.",CHAR(10),"30 dana, računajući od dana uvođenja u posao")</f>
        <v>23.08.2012.
30 dana, računajući od dana uvođenja u posao</v>
      </c>
      <c r="H354" s="1" t="str">
        <f>CONCATENATE("MONTEL D.O.O., ZAGREB")</f>
        <v>MONTEL D.O.O., ZAGREB</v>
      </c>
      <c r="I354" s="2"/>
      <c r="J354" s="1"/>
      <c r="K354" s="2"/>
    </row>
    <row r="355" spans="1:11" ht="63" x14ac:dyDescent="0.25">
      <c r="A355" s="1" t="str">
        <f>"341/2012"</f>
        <v>341/2012</v>
      </c>
      <c r="B355" s="1" t="s">
        <v>14</v>
      </c>
      <c r="C355" s="1" t="s">
        <v>1719</v>
      </c>
      <c r="D355" s="1" t="str">
        <f>CONCATENATE("835-2012-EMV",CHAR(10),"2012/S 002-0024362 od 28.05.2012.")</f>
        <v>835-2012-EMV
2012/S 002-0024362 od 28.05.2012.</v>
      </c>
      <c r="E355" s="1" t="s">
        <v>15</v>
      </c>
      <c r="F355" s="1" t="str">
        <f>"127.500,00"</f>
        <v>127.500,00</v>
      </c>
      <c r="G355" s="1" t="str">
        <f>CONCATENATE("24.08.2012.",CHAR(10),"od dana uvođenja u posao izvođača radova do predaje završnog izvješća")</f>
        <v>24.08.2012.
od dana uvođenja u posao izvođača radova do predaje završnog izvješća</v>
      </c>
      <c r="H355" s="1" t="str">
        <f>CONCATENATE("INSTITUT IGH D.D., ZAGREB")</f>
        <v>INSTITUT IGH D.D., ZAGREB</v>
      </c>
      <c r="I355" s="1" t="s">
        <v>195</v>
      </c>
      <c r="J355" s="1" t="str">
        <f>SUBSTITUTE(SUBSTITUTE(SUBSTITUTE("157,610.39",".","-"),",","."),"-",",")</f>
        <v>157.610,39</v>
      </c>
      <c r="K355" s="2"/>
    </row>
    <row r="356" spans="1:11" ht="47.25" x14ac:dyDescent="0.25">
      <c r="A356" s="1" t="str">
        <f>"342/2012"</f>
        <v>342/2012</v>
      </c>
      <c r="B356" s="1" t="s">
        <v>14</v>
      </c>
      <c r="C356" s="1" t="s">
        <v>1720</v>
      </c>
      <c r="D356" s="1" t="str">
        <f>CONCATENATE("249-2012-EMV",CHAR(10),"2012/S 015-0030524 od 14.06.2012.")</f>
        <v>249-2012-EMV
2012/S 015-0030524 od 14.06.2012.</v>
      </c>
      <c r="E356" s="1" t="s">
        <v>12</v>
      </c>
      <c r="F356" s="1" t="str">
        <f>"119.467,50"</f>
        <v>119.467,50</v>
      </c>
      <c r="G356" s="1" t="str">
        <f>CONCATENATE("24.08.2012.",CHAR(10),"12 mjeseci od dana obostranog potpisa Ugovora")</f>
        <v>24.08.2012.
12 mjeseci od dana obostranog potpisa Ugovora</v>
      </c>
      <c r="H356" s="1" t="str">
        <f>CONCATENATE("HP-HRVATSKA POŠTA, ZAGREB")</f>
        <v>HP-HRVATSKA POŠTA, ZAGREB</v>
      </c>
      <c r="I356" s="1" t="s">
        <v>161</v>
      </c>
      <c r="J356" s="1" t="str">
        <f>SUBSTITUTE(SUBSTITUTE(SUBSTITUTE("142,029.18",".","-"),",","."),"-",",")</f>
        <v>142.029,18</v>
      </c>
      <c r="K356" s="2"/>
    </row>
    <row r="357" spans="1:11" ht="78.75" x14ac:dyDescent="0.25">
      <c r="A357" s="1" t="str">
        <f>"343/2012"</f>
        <v>343/2012</v>
      </c>
      <c r="B357" s="1" t="s">
        <v>26</v>
      </c>
      <c r="C357" s="1" t="s">
        <v>196</v>
      </c>
      <c r="D357" s="1" t="str">
        <f>"111-2012-EMV"</f>
        <v>111-2012-EMV</v>
      </c>
      <c r="E357" s="1" t="s">
        <v>97</v>
      </c>
      <c r="F357" s="1" t="str">
        <f>"5.477,50"</f>
        <v>5.477,50</v>
      </c>
      <c r="G357" s="1" t="str">
        <f>CONCATENATE("24.08.2012.",CHAR(10),"12 mjeseci od dana obostranog potpisa Ugovora")</f>
        <v>24.08.2012.
12 mjeseci od dana obostranog potpisa Ugovora</v>
      </c>
      <c r="H357" s="1" t="str">
        <f>CONCATENATE("ALARM AUTOMATIKA D.O.O., RIJEKA")</f>
        <v>ALARM AUTOMATIKA D.O.O., RIJEKA</v>
      </c>
      <c r="I357" s="1" t="s">
        <v>197</v>
      </c>
      <c r="J357" s="1" t="str">
        <f>SUBSTITUTE(SUBSTITUTE(SUBSTITUTE("2,125.00",".","-"),",","."),"-",",")</f>
        <v>2.125,00</v>
      </c>
      <c r="K357" s="2"/>
    </row>
    <row r="358" spans="1:11" ht="94.5" x14ac:dyDescent="0.25">
      <c r="A358" s="1" t="str">
        <f>"344/2012"</f>
        <v>344/2012</v>
      </c>
      <c r="B358" s="1" t="s">
        <v>136</v>
      </c>
      <c r="C358" s="1" t="s">
        <v>198</v>
      </c>
      <c r="D358" s="1" t="str">
        <f>CONCATENATE("111-2012-EMV",CHAR(10),"2012/S 002-0010033 od 06.04.2012.")</f>
        <v>111-2012-EMV
2012/S 002-0010033 od 06.04.2012.</v>
      </c>
      <c r="E358" s="1" t="s">
        <v>97</v>
      </c>
      <c r="F358" s="1" t="str">
        <f>"97.650,00"</f>
        <v>97.650,00</v>
      </c>
      <c r="G358" s="1" t="str">
        <f>CONCATENATE("24.08.2012.",CHAR(10),"2 godine")</f>
        <v>24.08.2012.
2 godine</v>
      </c>
      <c r="H358" s="1" t="str">
        <f>CONCATENATE("HRT-ŠARIĆ D.O.O., DUGO SELO")</f>
        <v>HRT-ŠARIĆ D.O.O., DUGO SELO</v>
      </c>
      <c r="I358" s="1" t="s">
        <v>199</v>
      </c>
      <c r="J358" s="1" t="str">
        <f>SUBSTITUTE(SUBSTITUTE(SUBSTITUTE("108,012.50",".","-"),",","."),"-",",")</f>
        <v>108.012,50</v>
      </c>
      <c r="K358" s="2"/>
    </row>
    <row r="359" spans="1:11" ht="47.25" x14ac:dyDescent="0.25">
      <c r="A359" s="1" t="str">
        <f>"345/2012"</f>
        <v>345/2012</v>
      </c>
      <c r="B359" s="1" t="s">
        <v>14</v>
      </c>
      <c r="C359" s="1" t="s">
        <v>1721</v>
      </c>
      <c r="D359" s="1" t="str">
        <f>CONCATENATE("1114-2012-EMV",CHAR(10),"2012/S 015-0050812 od 13.08.2012.")</f>
        <v>1114-2012-EMV
2012/S 015-0050812 od 13.08.2012.</v>
      </c>
      <c r="E359" s="1" t="s">
        <v>40</v>
      </c>
      <c r="F359" s="1" t="str">
        <f>"160.000,00"</f>
        <v>160.000,00</v>
      </c>
      <c r="G359" s="1" t="str">
        <f>CONCATENATE("27.08.2012.",CHAR(10),"90 dana, računajući od dana obostranog potpisa Ugovora")</f>
        <v>27.08.2012.
90 dana, računajući od dana obostranog potpisa Ugovora</v>
      </c>
      <c r="H359" s="1" t="str">
        <f>CONCATENATE("REGIONALNA ENERGETSKA AGENCIJA SJEVEROZAPADNE HRVATSKE, ZAGREB")</f>
        <v>REGIONALNA ENERGETSKA AGENCIJA SJEVEROZAPADNE HRVATSKE, ZAGREB</v>
      </c>
      <c r="I359" s="1" t="s">
        <v>200</v>
      </c>
      <c r="J359" s="1" t="str">
        <f>SUBSTITUTE(SUBSTITUTE(SUBSTITUTE("200,000.00",".","-"),",","."),"-",",")</f>
        <v>200.000,00</v>
      </c>
      <c r="K359" s="2"/>
    </row>
    <row r="360" spans="1:11" ht="78.75" x14ac:dyDescent="0.25">
      <c r="A360" s="1" t="str">
        <f>"346/2012"</f>
        <v>346/2012</v>
      </c>
      <c r="B360" s="1" t="s">
        <v>26</v>
      </c>
      <c r="C360" s="1" t="s">
        <v>201</v>
      </c>
      <c r="D360" s="1" t="str">
        <f>"111-2012-EMV"</f>
        <v>111-2012-EMV</v>
      </c>
      <c r="E360" s="1" t="s">
        <v>97</v>
      </c>
      <c r="F360" s="1" t="str">
        <f>"8.579,00"</f>
        <v>8.579,00</v>
      </c>
      <c r="G360" s="1" t="str">
        <f>CONCATENATE("27.08.2012.",CHAR(10),"12 mjeseci od dana obostranog potpisa Ugovora")</f>
        <v>27.08.2012.
12 mjeseci od dana obostranog potpisa Ugovora</v>
      </c>
      <c r="H360" s="1" t="str">
        <f>CONCATENATE("TEHNOPLAM D.O.O., ZAGREB")</f>
        <v>TEHNOPLAM D.O.O., ZAGREB</v>
      </c>
      <c r="I360" s="1" t="s">
        <v>202</v>
      </c>
      <c r="J360" s="1" t="str">
        <f>SUBSTITUTE(SUBSTITUTE(SUBSTITUTE("7,727.50",".","-"),",","."),"-",",")</f>
        <v>7.727,50</v>
      </c>
      <c r="K360" s="2"/>
    </row>
    <row r="361" spans="1:11" ht="47.25" x14ac:dyDescent="0.25">
      <c r="A361" s="1" t="str">
        <f>"347/2012"</f>
        <v>347/2012</v>
      </c>
      <c r="B361" s="1" t="s">
        <v>14</v>
      </c>
      <c r="C361" s="1" t="s">
        <v>1722</v>
      </c>
      <c r="D361" s="1" t="str">
        <f>CONCATENATE("1104-2012-EMV",CHAR(10),"2012/S 002-0019728 od 15.05.2012.")</f>
        <v>1104-2012-EMV
2012/S 002-0019728 od 15.05.2012.</v>
      </c>
      <c r="E361" s="1" t="s">
        <v>15</v>
      </c>
      <c r="F361" s="1" t="str">
        <f>"165.000,00"</f>
        <v>165.000,00</v>
      </c>
      <c r="G361" s="1" t="str">
        <f>CONCATENATE("28.08.2012.",CHAR(10),"90 dana, računajući od dana obostranog potpisa Ugovora")</f>
        <v>28.08.2012.
90 dana, računajući od dana obostranog potpisa Ugovora</v>
      </c>
      <c r="H361" s="1" t="str">
        <f>CONCATENATE("ZG-PROJEKT D.O.O., ZAGREB")</f>
        <v>ZG-PROJEKT D.O.O., ZAGREB</v>
      </c>
      <c r="I361" s="1" t="s">
        <v>203</v>
      </c>
      <c r="J361" s="1" t="str">
        <f>SUBSTITUTE(SUBSTITUTE(SUBSTITUTE("206,250.00",".","-"),",","."),"-",",")</f>
        <v>206.250,00</v>
      </c>
      <c r="K361" s="2"/>
    </row>
    <row r="362" spans="1:11" ht="47.25" x14ac:dyDescent="0.25">
      <c r="A362" s="1" t="str">
        <f>"348/2012"</f>
        <v>348/2012</v>
      </c>
      <c r="B362" s="1" t="s">
        <v>14</v>
      </c>
      <c r="C362" s="1" t="s">
        <v>1723</v>
      </c>
      <c r="D362" s="1" t="str">
        <f>CONCATENATE("1624-2012-EMV",CHAR(10),"2012/S 002-0030928 od 15.06.2012.")</f>
        <v>1624-2012-EMV
2012/S 002-0030928 od 15.06.2012.</v>
      </c>
      <c r="E362" s="1" t="s">
        <v>15</v>
      </c>
      <c r="F362" s="1" t="str">
        <f>"329.633,35"</f>
        <v>329.633,35</v>
      </c>
      <c r="G362" s="1" t="str">
        <f>CONCATENATE("28.08.2012.",CHAR(10),"12 mjeseci, računajući od dana uvođenja u posao")</f>
        <v>28.08.2012.
12 mjeseci, računajući od dana uvođenja u posao</v>
      </c>
      <c r="H362" s="1" t="str">
        <f>CONCATENATE("TEMPERA D.D., ZAGREB")</f>
        <v>TEMPERA D.D., ZAGREB</v>
      </c>
      <c r="I362" s="1" t="s">
        <v>204</v>
      </c>
      <c r="J362" s="1" t="str">
        <f>SUBSTITUTE(SUBSTITUTE(SUBSTITUTE("411,497.63",".","-"),",","."),"-",",")</f>
        <v>411.497,63</v>
      </c>
      <c r="K362" s="2"/>
    </row>
    <row r="363" spans="1:11" ht="94.5" x14ac:dyDescent="0.25">
      <c r="A363" s="1" t="str">
        <f>"349/2012"</f>
        <v>349/2012</v>
      </c>
      <c r="B363" s="1" t="s">
        <v>26</v>
      </c>
      <c r="C363" s="1" t="s">
        <v>205</v>
      </c>
      <c r="D363" s="1" t="str">
        <f>"136-2012-EVV"</f>
        <v>136-2012-EVV</v>
      </c>
      <c r="E363" s="1" t="s">
        <v>97</v>
      </c>
      <c r="F363" s="1" t="str">
        <f>"2.012.400,00"</f>
        <v>2.012.400,00</v>
      </c>
      <c r="G363" s="1" t="str">
        <f>CONCATENATE("29.08.2012.",CHAR(10),"1 godina od dana obostranog potpisa Ugovora")</f>
        <v>29.08.2012.
1 godina od dana obostranog potpisa Ugovora</v>
      </c>
      <c r="H363" s="1" t="str">
        <f>CONCATENATE("IN2 D.O.O., ZAGREB")</f>
        <v>IN2 D.O.O., ZAGREB</v>
      </c>
      <c r="I363" s="1" t="s">
        <v>206</v>
      </c>
      <c r="J363" s="1" t="str">
        <f>SUBSTITUTE(SUBSTITUTE(SUBSTITUTE("1,499,775.00",".","-"),",","."),"-",",")</f>
        <v>1.499.775,00</v>
      </c>
      <c r="K363" s="2"/>
    </row>
    <row r="364" spans="1:11" ht="47.25" x14ac:dyDescent="0.25">
      <c r="A364" s="1" t="str">
        <f>"350/2012"</f>
        <v>350/2012</v>
      </c>
      <c r="B364" s="1" t="s">
        <v>14</v>
      </c>
      <c r="C364" s="1" t="s">
        <v>1724</v>
      </c>
      <c r="D364" s="1" t="str">
        <f>CONCATENATE("871-2012-EMV",CHAR(10),"2012/S 002-0018431 od 10.05.2012.")</f>
        <v>871-2012-EMV
2012/S 002-0018431 od 10.05.2012.</v>
      </c>
      <c r="E364" s="1" t="s">
        <v>15</v>
      </c>
      <c r="F364" s="1" t="str">
        <f>"882.499,98"</f>
        <v>882.499,98</v>
      </c>
      <c r="G364" s="1" t="str">
        <f>CONCATENATE("30.08.2012.",CHAR(10),"60 dana")</f>
        <v>30.08.2012.
60 dana</v>
      </c>
      <c r="H364" s="1" t="str">
        <f>CONCATENATE("GME USLUŽNI OBRT VL. DAVOR VRBANEK, SUNJA",CHAR(10),"FANOS D.O.O.,")</f>
        <v>GME USLUŽNI OBRT VL. DAVOR VRBANEK, SUNJA
FANOS D.O.O.,</v>
      </c>
      <c r="I364" s="1" t="s">
        <v>207</v>
      </c>
      <c r="J364" s="1" t="str">
        <f>SUBSTITUTE(SUBSTITUTE(SUBSTITUTE("1,062,930.03",".","-"),",","."),"-",",")</f>
        <v>1.062.930,03</v>
      </c>
      <c r="K364" s="2"/>
    </row>
    <row r="365" spans="1:11" ht="94.5" x14ac:dyDescent="0.25">
      <c r="A365" s="1" t="str">
        <f>"351/2012"</f>
        <v>351/2012</v>
      </c>
      <c r="B365" s="1" t="s">
        <v>14</v>
      </c>
      <c r="C365" s="1" t="s">
        <v>1725</v>
      </c>
      <c r="D365" s="1" t="str">
        <f>CONCATENATE("1956-2012-EMV",CHAR(10),"2012/S 002-0024334 od 30.05.2013. i ispr. broj 2012/S-014-0032496 od 19.06.2012.")</f>
        <v>1956-2012-EMV
2012/S 002-0024334 od 30.05.2013. i ispr. broj 2012/S-014-0032496 od 19.06.2012.</v>
      </c>
      <c r="E365" s="1" t="s">
        <v>15</v>
      </c>
      <c r="F365" s="1" t="str">
        <f>"2.156.139,99"</f>
        <v>2.156.139,99</v>
      </c>
      <c r="G365" s="1" t="str">
        <f>CONCATENATE("30.08.2012.",CHAR(10),"240 dana, računajući od dana uvođenja u posao")</f>
        <v>30.08.2012.
240 dana, računajući od dana uvođenja u posao</v>
      </c>
      <c r="H365" s="1" t="str">
        <f>CONCATENATE("MEŠIĆ COM D.O.O., ZAGREB",CHAR(10),"VODOVOD-OSIJEK D.O.O., OSIJEK",CHAR(10),"MJERNIK LIMA D.O.O., ZAGREB",CHAR(10),"ALING D.O.O., ZAGREB",CHAR(10),"VELTEH D.O.O., ZAGREB",CHAR(10),"IS-GRIJANJE D.O.O., ZAGREB")</f>
        <v>MEŠIĆ COM D.O.O., ZAGREB
VODOVOD-OSIJEK D.O.O., OSIJEK
MJERNIK LIMA D.O.O., ZAGREB
ALING D.O.O., ZAGREB
VELTEH D.O.O., ZAGREB
IS-GRIJANJE D.O.O., ZAGREB</v>
      </c>
      <c r="I365" s="1" t="s">
        <v>208</v>
      </c>
      <c r="J365" s="1" t="str">
        <f>SUBSTITUTE(SUBSTITUTE(SUBSTITUTE("2,695,174.99",".","-"),",","."),"-",",")</f>
        <v>2.695.174,99</v>
      </c>
      <c r="K365" s="2"/>
    </row>
    <row r="366" spans="1:11" ht="47.25" x14ac:dyDescent="0.25">
      <c r="A366" s="1" t="str">
        <f>"352/2012"</f>
        <v>352/2012</v>
      </c>
      <c r="B366" s="1" t="s">
        <v>14</v>
      </c>
      <c r="C366" s="1" t="s">
        <v>1726</v>
      </c>
      <c r="D366" s="1" t="str">
        <f>CONCATENATE("438-2012-EMV",CHAR(10),"2012/S 002-0019227 od 12.05.2012.")</f>
        <v>438-2012-EMV
2012/S 002-0019227 od 12.05.2012.</v>
      </c>
      <c r="E366" s="1" t="s">
        <v>15</v>
      </c>
      <c r="F366" s="1" t="str">
        <f>"801.837,00"</f>
        <v>801.837,00</v>
      </c>
      <c r="G366" s="1" t="str">
        <f>CONCATENATE("01.09.2012.",CHAR(10),"90 dana, računajući od dana uvođenja u posao")</f>
        <v>01.09.2012.
90 dana, računajući od dana uvođenja u posao</v>
      </c>
      <c r="H366" s="1" t="str">
        <f>CONCATENATE("HEDOM D.O.O., ZAGREB")</f>
        <v>HEDOM D.O.O., ZAGREB</v>
      </c>
      <c r="I366" s="1" t="s">
        <v>209</v>
      </c>
      <c r="J366" s="1" t="str">
        <f>SUBSTITUTE(SUBSTITUTE(SUBSTITUTE("949,709.71",".","-"),",","."),"-",",")</f>
        <v>949.709,71</v>
      </c>
      <c r="K366" s="2"/>
    </row>
    <row r="367" spans="1:11" ht="47.25" x14ac:dyDescent="0.25">
      <c r="A367" s="1" t="str">
        <f>"353/2012"</f>
        <v>353/2012</v>
      </c>
      <c r="B367" s="1" t="s">
        <v>14</v>
      </c>
      <c r="C367" s="1" t="s">
        <v>1727</v>
      </c>
      <c r="D367" s="1" t="str">
        <f>CONCATENATE("414-2012-EMV",CHAR(10),"2012/S 002-0023910 od 25.05.2012.")</f>
        <v>414-2012-EMV
2012/S 002-0023910 od 25.05.2012.</v>
      </c>
      <c r="E367" s="1" t="s">
        <v>15</v>
      </c>
      <c r="F367" s="1" t="str">
        <f>"1.464.303,75"</f>
        <v>1.464.303,75</v>
      </c>
      <c r="G367" s="1" t="str">
        <f>CONCATENATE("01.09.2012.",CHAR(10),"90 dana, računajući od dana uvođenja u posao")</f>
        <v>01.09.2012.
90 dana, računajući od dana uvođenja u posao</v>
      </c>
      <c r="H367" s="1" t="str">
        <f>CONCATENATE("HEDOM D.O.O., ZAGREB",CHAR(10),"ITS-CONSULTING D.O.O., ZAGREB")</f>
        <v>HEDOM D.O.O., ZAGREB
ITS-CONSULTING D.O.O., ZAGREB</v>
      </c>
      <c r="I367" s="1" t="s">
        <v>13</v>
      </c>
      <c r="J367" s="1" t="str">
        <f>SUBSTITUTE(SUBSTITUTE(SUBSTITUTE("1,828,989.39",".","-"),",","."),"-",",")</f>
        <v>1.828.989,39</v>
      </c>
      <c r="K367" s="2"/>
    </row>
    <row r="368" spans="1:11" ht="47.25" x14ac:dyDescent="0.25">
      <c r="A368" s="1" t="str">
        <f>"354/2012"</f>
        <v>354/2012</v>
      </c>
      <c r="B368" s="1" t="s">
        <v>14</v>
      </c>
      <c r="C368" s="1" t="s">
        <v>1728</v>
      </c>
      <c r="D368" s="1" t="str">
        <f>CONCATENATE("404-2012-EMV",CHAR(10),"2012/S 002-0016076 od 03.05.2012.")</f>
        <v>404-2012-EMV
2012/S 002-0016076 od 03.05.2012.</v>
      </c>
      <c r="E368" s="1" t="s">
        <v>15</v>
      </c>
      <c r="F368" s="1" t="str">
        <f>"646.691,60"</f>
        <v>646.691,60</v>
      </c>
      <c r="G368" s="1" t="str">
        <f>CONCATENATE("01.09.2012.",CHAR(10),"75 dana, računajući od dana uvođenja u posao")</f>
        <v>01.09.2012.
75 dana, računajući od dana uvođenja u posao</v>
      </c>
      <c r="H368" s="1" t="str">
        <f>CONCATENATE("TERMOINŽENJERING-MONTAŽA D.D., DONJA BISTRA")</f>
        <v>TERMOINŽENJERING-MONTAŽA D.D., DONJA BISTRA</v>
      </c>
      <c r="I368" s="1" t="s">
        <v>210</v>
      </c>
      <c r="J368" s="1" t="str">
        <f>SUBSTITUTE(SUBSTITUTE(SUBSTITUTE("807,004.51",".","-"),",","."),"-",",")</f>
        <v>807.004,51</v>
      </c>
      <c r="K368" s="2"/>
    </row>
    <row r="369" spans="1:11" ht="47.25" x14ac:dyDescent="0.25">
      <c r="A369" s="1" t="str">
        <f>"355/2012"</f>
        <v>355/2012</v>
      </c>
      <c r="B369" s="1" t="s">
        <v>14</v>
      </c>
      <c r="C369" s="1" t="s">
        <v>1729</v>
      </c>
      <c r="D369" s="1" t="str">
        <f>CONCATENATE("407-2012-EMV",CHAR(10),"2012/S 002-0027055 od 04.06.2012.")</f>
        <v>407-2012-EMV
2012/S 002-0027055 od 04.06.2012.</v>
      </c>
      <c r="E369" s="1" t="s">
        <v>15</v>
      </c>
      <c r="F369" s="1" t="str">
        <f>"733.917,75"</f>
        <v>733.917,75</v>
      </c>
      <c r="G369" s="1" t="str">
        <f>CONCATENATE("01.09.2012.",CHAR(10),"75 dana, računajući od dana uvođenja u poao")</f>
        <v>01.09.2012.
75 dana, računajući od dana uvođenja u poao</v>
      </c>
      <c r="H369" s="1" t="str">
        <f>CONCATENATE("TERMOINŽENJERING-MONTAŽA D.D., DONJA BISTRA")</f>
        <v>TERMOINŽENJERING-MONTAŽA D.D., DONJA BISTRA</v>
      </c>
      <c r="I369" s="1" t="s">
        <v>211</v>
      </c>
      <c r="J369" s="1" t="str">
        <f>SUBSTITUTE(SUBSTITUTE(SUBSTITUTE("917,109.70",".","-"),",","."),"-",",")</f>
        <v>917.109,70</v>
      </c>
      <c r="K369" s="2"/>
    </row>
    <row r="370" spans="1:11" ht="47.25" x14ac:dyDescent="0.25">
      <c r="A370" s="1" t="str">
        <f>"356/2012"</f>
        <v>356/2012</v>
      </c>
      <c r="B370" s="1" t="s">
        <v>14</v>
      </c>
      <c r="C370" s="1" t="s">
        <v>1730</v>
      </c>
      <c r="D370" s="1" t="str">
        <f>CONCATENATE("405-2012-EMV",CHAR(10),"2012/S 002-0017039 od 07.05.2012.")</f>
        <v>405-2012-EMV
2012/S 002-0017039 od 07.05.2012.</v>
      </c>
      <c r="E370" s="1" t="s">
        <v>15</v>
      </c>
      <c r="F370" s="1" t="str">
        <f>"463.818,00"</f>
        <v>463.818,00</v>
      </c>
      <c r="G370" s="1" t="str">
        <f>CONCATENATE("01.09.2012.",CHAR(10),"60 dana, računajući od dana uvođenja u posao")</f>
        <v>01.09.2012.
60 dana, računajući od dana uvođenja u posao</v>
      </c>
      <c r="H370" s="1" t="str">
        <f>CONCATENATE("TERMOINŽENJERING-MONTAŽA D.D., DONJA BISTRA")</f>
        <v>TERMOINŽENJERING-MONTAŽA D.D., DONJA BISTRA</v>
      </c>
      <c r="I370" s="1" t="s">
        <v>212</v>
      </c>
      <c r="J370" s="1" t="str">
        <f>SUBSTITUTE(SUBSTITUTE(SUBSTITUTE("579,380.93",".","-"),",","."),"-",",")</f>
        <v>579.380,93</v>
      </c>
      <c r="K370" s="2"/>
    </row>
    <row r="371" spans="1:11" ht="47.25" x14ac:dyDescent="0.25">
      <c r="A371" s="1" t="str">
        <f>"357/2012"</f>
        <v>357/2012</v>
      </c>
      <c r="B371" s="1" t="s">
        <v>14</v>
      </c>
      <c r="C371" s="1" t="s">
        <v>1731</v>
      </c>
      <c r="D371" s="1" t="str">
        <f>CONCATENATE("1903-2012-EMV",CHAR(10),"2012/S 002-0036791 od 04.07.2012.")</f>
        <v>1903-2012-EMV
2012/S 002-0036791 od 04.07.2012.</v>
      </c>
      <c r="E371" s="1" t="s">
        <v>15</v>
      </c>
      <c r="F371" s="1" t="str">
        <f>"219.600,00"</f>
        <v>219.600,00</v>
      </c>
      <c r="G371" s="1" t="str">
        <f>CONCATENATE("04.09.2012.",CHAR(10),"60 dana, računajući od dana uvođenja u posao")</f>
        <v>04.09.2012.
60 dana, računajući od dana uvođenja u posao</v>
      </c>
      <c r="H371" s="1" t="str">
        <f>CONCATENATE("TA-GRAD D.O.O., ZAGREB")</f>
        <v>TA-GRAD D.O.O., ZAGREB</v>
      </c>
      <c r="I371" s="1" t="s">
        <v>213</v>
      </c>
      <c r="J371" s="1" t="str">
        <f>SUBSTITUTE(SUBSTITUTE(SUBSTITUTE("274,500.00",".","-"),",","."),"-",",")</f>
        <v>274.500,00</v>
      </c>
      <c r="K371" s="2"/>
    </row>
    <row r="372" spans="1:11" ht="47.25" x14ac:dyDescent="0.25">
      <c r="A372" s="1" t="str">
        <f>"358/2012"</f>
        <v>358/2012</v>
      </c>
      <c r="B372" s="1" t="s">
        <v>14</v>
      </c>
      <c r="C372" s="1" t="s">
        <v>1732</v>
      </c>
      <c r="D372" s="1" t="str">
        <f>CONCATENATE("1089-2012-EMV",CHAR(10),"2012/S 002-0021542 od 21.05.2012.")</f>
        <v>1089-2012-EMV
2012/S 002-0021542 od 21.05.2012.</v>
      </c>
      <c r="E372" s="1" t="s">
        <v>15</v>
      </c>
      <c r="F372" s="1" t="str">
        <f>"698.756,00"</f>
        <v>698.756,00</v>
      </c>
      <c r="G372" s="1" t="str">
        <f>CONCATENATE("05.09.2012.",CHAR(10),"4 mjeseca, računajući od dana uvođenja u posao")</f>
        <v>05.09.2012.
4 mjeseca, računajući od dana uvođenja u posao</v>
      </c>
      <c r="H372" s="1" t="str">
        <f>CONCATENATE("TIMECO D.O.O., ZAGREB")</f>
        <v>TIMECO D.O.O., ZAGREB</v>
      </c>
      <c r="I372" s="1" t="s">
        <v>214</v>
      </c>
      <c r="J372" s="1" t="str">
        <f>SUBSTITUTE(SUBSTITUTE(SUBSTITUTE("872,608.75",".","-"),",","."),"-",",")</f>
        <v>872.608,75</v>
      </c>
      <c r="K372" s="2"/>
    </row>
    <row r="373" spans="1:11" ht="47.25" x14ac:dyDescent="0.25">
      <c r="A373" s="1" t="str">
        <f>"359/2012"</f>
        <v>359/2012</v>
      </c>
      <c r="B373" s="1" t="s">
        <v>14</v>
      </c>
      <c r="C373" s="1" t="s">
        <v>1733</v>
      </c>
      <c r="D373" s="1" t="str">
        <f>CONCATENATE("719-2012-EVV",CHAR(10),"2012/S 002-0025551 od 30.05.2012.")</f>
        <v>719-2012-EVV
2012/S 002-0025551 od 30.05.2012.</v>
      </c>
      <c r="E373" s="1" t="s">
        <v>15</v>
      </c>
      <c r="F373" s="1" t="str">
        <f>"1.263.140,00"</f>
        <v>1.263.140,00</v>
      </c>
      <c r="G373" s="1" t="str">
        <f>CONCATENATE("06.09.2012.",CHAR(10),"3 mjeseca")</f>
        <v>06.09.2012.
3 mjeseca</v>
      </c>
      <c r="H373" s="1" t="str">
        <f>CONCATENATE("ŠKOLSKI SERVIS D.O.O., ZAGREB")</f>
        <v>ŠKOLSKI SERVIS D.O.O., ZAGREB</v>
      </c>
      <c r="I373" s="1" t="s">
        <v>151</v>
      </c>
      <c r="J373" s="1" t="str">
        <f>SUBSTITUTE(SUBSTITUTE(SUBSTITUTE("1,578,119.45",".","-"),",","."),"-",",")</f>
        <v>1.578.119,45</v>
      </c>
      <c r="K373" s="2"/>
    </row>
    <row r="374" spans="1:11" ht="78.75" x14ac:dyDescent="0.25">
      <c r="A374" s="1" t="str">
        <f>"360/2012"</f>
        <v>360/2012</v>
      </c>
      <c r="B374" s="1" t="s">
        <v>26</v>
      </c>
      <c r="C374" s="1" t="s">
        <v>215</v>
      </c>
      <c r="D374" s="1" t="str">
        <f>"111-2012-EMV"</f>
        <v>111-2012-EMV</v>
      </c>
      <c r="E374" s="1" t="s">
        <v>97</v>
      </c>
      <c r="F374" s="1" t="str">
        <f>"48.825,00"</f>
        <v>48.825,00</v>
      </c>
      <c r="G374" s="1" t="str">
        <f>CONCATENATE("06.09.2012.",CHAR(10),"tijekom 12 mjeseci od dana obostranog potpisa Ugovora")</f>
        <v>06.09.2012.
tijekom 12 mjeseci od dana obostranog potpisa Ugovora</v>
      </c>
      <c r="H374" s="1" t="str">
        <f>CONCATENATE("HRT-ŠARIĆ D.O.O., DUGO SELO")</f>
        <v>HRT-ŠARIĆ D.O.O., DUGO SELO</v>
      </c>
      <c r="I374" s="1" t="s">
        <v>216</v>
      </c>
      <c r="J374" s="1" t="str">
        <f>SUBSTITUTE(SUBSTITUTE(SUBSTITUTE("46,981.25",".","-"),",","."),"-",",")</f>
        <v>46.981,25</v>
      </c>
      <c r="K374" s="2"/>
    </row>
    <row r="375" spans="1:11" ht="47.25" x14ac:dyDescent="0.25">
      <c r="A375" s="1" t="str">
        <f>"361/2012"</f>
        <v>361/2012</v>
      </c>
      <c r="B375" s="1" t="s">
        <v>14</v>
      </c>
      <c r="C375" s="1" t="s">
        <v>1734</v>
      </c>
      <c r="D375" s="1" t="str">
        <f>CONCATENATE("1757-2012-EMV",CHAR(10),"2012/S 002-0029508 od 12.06.2012.")</f>
        <v>1757-2012-EMV
2012/S 002-0029508 od 12.06.2012.</v>
      </c>
      <c r="E375" s="1" t="s">
        <v>15</v>
      </c>
      <c r="F375" s="1" t="str">
        <f>"97.502,00"</f>
        <v>97.502,00</v>
      </c>
      <c r="G375" s="1" t="str">
        <f>CONCATENATE("07.09.2012.",CHAR(10),"15 dana od dana obostranog potpisa  Ugovora")</f>
        <v>07.09.2012.
15 dana od dana obostranog potpisa  Ugovora</v>
      </c>
      <c r="H375" s="1" t="str">
        <f>CONCATENATE("BIRODOM D.O.O., LUČKO")</f>
        <v>BIRODOM D.O.O., LUČKO</v>
      </c>
      <c r="I375" s="1" t="s">
        <v>217</v>
      </c>
      <c r="J375" s="1" t="str">
        <f>SUBSTITUTE(SUBSTITUTE(SUBSTITUTE("121,877.50",".","-"),",","."),"-",",")</f>
        <v>121.877,50</v>
      </c>
      <c r="K375" s="2"/>
    </row>
    <row r="376" spans="1:11" ht="47.25" x14ac:dyDescent="0.25">
      <c r="A376" s="1" t="str">
        <f>"362/2012"</f>
        <v>362/2012</v>
      </c>
      <c r="B376" s="1" t="s">
        <v>14</v>
      </c>
      <c r="C376" s="1" t="s">
        <v>1735</v>
      </c>
      <c r="D376" s="1" t="str">
        <f>CONCATENATE("839-2012-EMV",CHAR(10),"2012/S 002-0040610 od 13.07.2012.")</f>
        <v>839-2012-EMV
2012/S 002-0040610 od 13.07.2012.</v>
      </c>
      <c r="E376" s="1" t="s">
        <v>15</v>
      </c>
      <c r="F376" s="1" t="str">
        <f>"1.239.873,60"</f>
        <v>1.239.873,60</v>
      </c>
      <c r="G376" s="1" t="str">
        <f>CONCATENATE("07.09.2012.",CHAR(10),"30 dana")</f>
        <v>07.09.2012.
30 dana</v>
      </c>
      <c r="H376" s="1" t="str">
        <f>CONCATENATE("ELICOM D.O.O., ZAGREB")</f>
        <v>ELICOM D.O.O., ZAGREB</v>
      </c>
      <c r="I376" s="1" t="s">
        <v>122</v>
      </c>
      <c r="J376" s="1" t="str">
        <f>SUBSTITUTE(SUBSTITUTE(SUBSTITUTE("1,475,096.56",".","-"),",","."),"-",",")</f>
        <v>1.475.096,56</v>
      </c>
      <c r="K376" s="2"/>
    </row>
    <row r="377" spans="1:11" ht="63" x14ac:dyDescent="0.25">
      <c r="A377" s="1" t="str">
        <f>"363/2012"</f>
        <v>363/2012</v>
      </c>
      <c r="B377" s="1" t="s">
        <v>14</v>
      </c>
      <c r="C377" s="1" t="s">
        <v>1736</v>
      </c>
      <c r="D377" s="1" t="str">
        <f>CONCATENATE("1630-2012-EMV",CHAR(10),"2012/S-002-0023413 od 24.05.2012.")</f>
        <v>1630-2012-EMV
2012/S-002-0023413 od 24.05.2012.</v>
      </c>
      <c r="E377" s="1" t="s">
        <v>15</v>
      </c>
      <c r="F377" s="1" t="str">
        <f>"136.000,00"</f>
        <v>136.000,00</v>
      </c>
      <c r="G377" s="1" t="str">
        <f>CONCATENATE("11.09.2012.",CHAR(10),"60 dana, računajući  od dana obostranog potpisa Ugovora")</f>
        <v>11.09.2012.
60 dana, računajući  od dana obostranog potpisa Ugovora</v>
      </c>
      <c r="H377" s="1" t="str">
        <f>CONCATENATE("KONZALT ING D.O.O., ZAGREB")</f>
        <v>KONZALT ING D.O.O., ZAGREB</v>
      </c>
      <c r="I377" s="1" t="s">
        <v>218</v>
      </c>
      <c r="J377" s="1" t="str">
        <f>SUBSTITUTE(SUBSTITUTE(SUBSTITUTE("170,000.00",".","-"),",","."),"-",",")</f>
        <v>170.000,00</v>
      </c>
      <c r="K377" s="2"/>
    </row>
    <row r="378" spans="1:11" ht="47.25" x14ac:dyDescent="0.25">
      <c r="A378" s="1" t="str">
        <f>"364/2012"</f>
        <v>364/2012</v>
      </c>
      <c r="B378" s="1" t="s">
        <v>14</v>
      </c>
      <c r="C378" s="1" t="s">
        <v>1737</v>
      </c>
      <c r="D378" s="1" t="str">
        <f>CONCATENATE("1120-2012-EMV",CHAR(10),"2012/S 002-0019898 od 16.05.2012.")</f>
        <v>1120-2012-EMV
2012/S 002-0019898 od 16.05.2012.</v>
      </c>
      <c r="E378" s="1" t="s">
        <v>15</v>
      </c>
      <c r="F378" s="1" t="str">
        <f>"80.000,00"</f>
        <v>80.000,00</v>
      </c>
      <c r="G378" s="1" t="str">
        <f>CONCATENATE("11.09.2012.",CHAR(10),"12 mjeseci")</f>
        <v>11.09.2012.
12 mjeseci</v>
      </c>
      <c r="H378" s="1" t="str">
        <f>CONCATENATE("INSTITUT ZA MEDICINSKA ISTRAŽIVANJA I MEDICINU RADA, ZAGREB")</f>
        <v>INSTITUT ZA MEDICINSKA ISTRAŽIVANJA I MEDICINU RADA, ZAGREB</v>
      </c>
      <c r="I378" s="1" t="s">
        <v>141</v>
      </c>
      <c r="J378" s="1" t="str">
        <f>SUBSTITUTE(SUBSTITUTE(SUBSTITUTE("100,000.00",".","-"),",","."),"-",",")</f>
        <v>100.000,00</v>
      </c>
      <c r="K378" s="2"/>
    </row>
    <row r="379" spans="1:11" ht="78.75" x14ac:dyDescent="0.25">
      <c r="A379" s="1" t="str">
        <f>"365/2012"</f>
        <v>365/2012</v>
      </c>
      <c r="B379" s="1" t="s">
        <v>136</v>
      </c>
      <c r="C379" s="1" t="s">
        <v>1738</v>
      </c>
      <c r="D379" s="1" t="str">
        <f>CONCATENATE("129-2012-EVV",CHAR(10),"2012/S 002-0020037 od 06.05.2012.")</f>
        <v>129-2012-EVV
2012/S 002-0020037 od 06.05.2012.</v>
      </c>
      <c r="E379" s="1" t="s">
        <v>97</v>
      </c>
      <c r="F379" s="1" t="str">
        <f>"4.224.095,00"</f>
        <v>4.224.095,00</v>
      </c>
      <c r="G379" s="1" t="str">
        <f>CONCATENATE("11.09.2012.",CHAR(10),"za razdoblje od 2 godine")</f>
        <v>11.09.2012.
za razdoblje od 2 godine</v>
      </c>
      <c r="H379" s="1" t="str">
        <f>CONCATENATE("COMPING D.O.O., ZAGREB")</f>
        <v>COMPING D.O.O., ZAGREB</v>
      </c>
      <c r="I379" s="1" t="s">
        <v>219</v>
      </c>
      <c r="J379" s="1" t="str">
        <f>SUBSTITUTE(SUBSTITUTE(SUBSTITUTE("5,175,998.75",".","-"),",","."),"-",",")</f>
        <v>5.175.998,75</v>
      </c>
      <c r="K379" s="2"/>
    </row>
    <row r="380" spans="1:11" ht="78.75" x14ac:dyDescent="0.25">
      <c r="A380" s="1" t="str">
        <f>"366/2012"</f>
        <v>366/2012</v>
      </c>
      <c r="B380" s="1" t="s">
        <v>14</v>
      </c>
      <c r="C380" s="1" t="s">
        <v>1739</v>
      </c>
      <c r="D380" s="1" t="str">
        <f>CONCATENATE("1751-2012-EMV",CHAR(10),"2012/S 002-0026809 od 04.06.2012. i ispr. broj 2012/S 014-0032716 od 20.06.2012.")</f>
        <v>1751-2012-EMV
2012/S 002-0026809 od 04.06.2012. i ispr. broj 2012/S 014-0032716 od 20.06.2012.</v>
      </c>
      <c r="E380" s="1" t="s">
        <v>15</v>
      </c>
      <c r="F380" s="1" t="str">
        <f>"373.814,16"</f>
        <v>373.814,16</v>
      </c>
      <c r="G380" s="1" t="str">
        <f>CONCATENATE("11.09.2012.",CHAR(10),"godina dana od dana obostranog potpisa Ugovora")</f>
        <v>11.09.2012.
godina dana od dana obostranog potpisa Ugovora</v>
      </c>
      <c r="H380" s="1" t="str">
        <f>CONCATENATE("QUANTUM MEDIA D.O.O., ZAGREB")</f>
        <v>QUANTUM MEDIA D.O.O., ZAGREB</v>
      </c>
      <c r="I380" s="1" t="s">
        <v>220</v>
      </c>
      <c r="J380" s="1" t="str">
        <f>SUBSTITUTE(SUBSTITUTE(SUBSTITUTE("236,483.58",".","-"),",","."),"-",",")</f>
        <v>236.483,58</v>
      </c>
      <c r="K380" s="2"/>
    </row>
    <row r="381" spans="1:11" ht="78.75" x14ac:dyDescent="0.25">
      <c r="A381" s="1" t="str">
        <f>"367/2012"</f>
        <v>367/2012</v>
      </c>
      <c r="B381" s="1" t="s">
        <v>14</v>
      </c>
      <c r="C381" s="1" t="s">
        <v>1740</v>
      </c>
      <c r="D381" s="1" t="str">
        <f>CONCATENATE("2553-2012-EMV",CHAR(10),"2012/S 002-0038042 od 06.07.2012 i ispr. broj 2012/S 014-0042579 od 18.07.2012.")</f>
        <v>2553-2012-EMV
2012/S 002-0038042 od 06.07.2012 i ispr. broj 2012/S 014-0042579 od 18.07.2012.</v>
      </c>
      <c r="E381" s="1" t="s">
        <v>15</v>
      </c>
      <c r="F381" s="1" t="str">
        <f>"1.008.650,25"</f>
        <v>1.008.650,25</v>
      </c>
      <c r="G381" s="1" t="str">
        <f>CONCATENATE("12.09.2012.",CHAR(10),"35 dana, računajući od dana uvođenja u posao")</f>
        <v>12.09.2012.
35 dana, računajući od dana uvođenja u posao</v>
      </c>
      <c r="H381" s="1" t="str">
        <f>CONCATENATE("HVAR D.O.O., SAMOBOR",CHAR(10),"GRAĐEVINSKI LABORATORIJ D.O.O., ZAGREB",CHAR(10),"ATEST - KONTROLA D.O.O., ZAGREB")</f>
        <v>HVAR D.O.O., SAMOBOR
GRAĐEVINSKI LABORATORIJ D.O.O., ZAGREB
ATEST - KONTROLA D.O.O., ZAGREB</v>
      </c>
      <c r="I381" s="1" t="s">
        <v>221</v>
      </c>
      <c r="J381" s="1" t="str">
        <f>SUBSTITUTE(SUBSTITUTE(SUBSTITUTE("1,240,643.39",".","-"),",","."),"-",",")</f>
        <v>1.240.643,39</v>
      </c>
      <c r="K381" s="2"/>
    </row>
    <row r="382" spans="1:11" ht="47.25" x14ac:dyDescent="0.25">
      <c r="A382" s="1" t="str">
        <f>"368/2012"</f>
        <v>368/2012</v>
      </c>
      <c r="B382" s="1" t="s">
        <v>14</v>
      </c>
      <c r="C382" s="1" t="s">
        <v>1741</v>
      </c>
      <c r="D382" s="1" t="str">
        <f>CONCATENATE("1915-2012-EMV",CHAR(10),"2012/S 002-0036163 od 03.07.2012.")</f>
        <v>1915-2012-EMV
2012/S 002-0036163 od 03.07.2012.</v>
      </c>
      <c r="E382" s="1" t="s">
        <v>15</v>
      </c>
      <c r="F382" s="1" t="str">
        <f>"361.137,30"</f>
        <v>361.137,30</v>
      </c>
      <c r="G382" s="1" t="str">
        <f>CONCATENATE("12.09.2012.",CHAR(10),"u roku od 60 dana, računajući od dana uvođenja u posao")</f>
        <v>12.09.2012.
u roku od 60 dana, računajući od dana uvođenja u posao</v>
      </c>
      <c r="H382" s="1" t="str">
        <f>CONCATENATE("''KINDER'' GRADNJA I USLUGE VL. I. KINDER, SESVETE-KRALJEVEC",CHAR(10),"PERVISUS D.O.O., ZAGREB")</f>
        <v>''KINDER'' GRADNJA I USLUGE VL. I. KINDER, SESVETE-KRALJEVEC
PERVISUS D.O.O., ZAGREB</v>
      </c>
      <c r="I382" s="1" t="s">
        <v>222</v>
      </c>
      <c r="J382" s="1" t="str">
        <f>SUBSTITUTE(SUBSTITUTE(SUBSTITUTE("451,354.93",".","-"),",","."),"-",",")</f>
        <v>451.354,93</v>
      </c>
      <c r="K382" s="2"/>
    </row>
    <row r="383" spans="1:11" ht="78.75" x14ac:dyDescent="0.25">
      <c r="A383" s="1" t="str">
        <f>"369/2012"</f>
        <v>369/2012</v>
      </c>
      <c r="B383" s="1" t="s">
        <v>14</v>
      </c>
      <c r="C383" s="1" t="s">
        <v>1742</v>
      </c>
      <c r="D383" s="1" t="str">
        <f>CONCATENATE("709-2012-EMV",CHAR(10),"2012/S 002-0024054 od 25.05.2012. i ispr. broj 2012/S 014-0029496 od 12.06.2012.")</f>
        <v>709-2012-EMV
2012/S 002-0024054 od 25.05.2012. i ispr. broj 2012/S 014-0029496 od 12.06.2012.</v>
      </c>
      <c r="E383" s="1" t="s">
        <v>15</v>
      </c>
      <c r="F383" s="1" t="str">
        <f>"717.288,00"</f>
        <v>717.288,00</v>
      </c>
      <c r="G383" s="1" t="str">
        <f>CONCATENATE("12.09.2012.",CHAR(10)," 4 mjeseca")</f>
        <v>12.09.2012.
 4 mjeseca</v>
      </c>
      <c r="H383" s="1" t="str">
        <f>CONCATENATE("OKI-MONT D.O.O., ZAGREB",CHAR(10),"KEMIS-TERMOCLEAN D.O.O., ZAGREB")</f>
        <v>OKI-MONT D.O.O., ZAGREB
KEMIS-TERMOCLEAN D.O.O., ZAGREB</v>
      </c>
      <c r="I383" s="1" t="s">
        <v>223</v>
      </c>
      <c r="J383" s="1" t="str">
        <f>SUBSTITUTE(SUBSTITUTE(SUBSTITUTE("887,843.96",".","-"),",","."),"-",",")</f>
        <v>887.843,96</v>
      </c>
      <c r="K383" s="2"/>
    </row>
    <row r="384" spans="1:11" ht="47.25" x14ac:dyDescent="0.25">
      <c r="A384" s="1" t="str">
        <f>"370/2012"</f>
        <v>370/2012</v>
      </c>
      <c r="B384" s="1" t="s">
        <v>14</v>
      </c>
      <c r="C384" s="1" t="s">
        <v>1743</v>
      </c>
      <c r="D384" s="1" t="str">
        <f>CONCATENATE("442-2012-EMV",CHAR(10),"2012/S 002-0026699 od 04.06.2012.")</f>
        <v>442-2012-EMV
2012/S 002-0026699 od 04.06.2012.</v>
      </c>
      <c r="E384" s="1" t="s">
        <v>15</v>
      </c>
      <c r="F384" s="1" t="str">
        <f>"1.695.645,00"</f>
        <v>1.695.645,00</v>
      </c>
      <c r="G384" s="1" t="str">
        <f>CONCATENATE("12.09.2012.",CHAR(10),"u roku od 45 dana, računajući od dana uvođenja u posao")</f>
        <v>12.09.2012.
u roku od 45 dana, računajući od dana uvođenja u posao</v>
      </c>
      <c r="H384" s="1" t="str">
        <f>CONCATENATE("GEORAD D.O.O., ZAGREB")</f>
        <v>GEORAD D.O.O., ZAGREB</v>
      </c>
      <c r="I384" s="1" t="s">
        <v>117</v>
      </c>
      <c r="J384" s="1" t="str">
        <f>SUBSTITUTE(SUBSTITUTE(SUBSTITUTE("2,119,149.43",".","-"),",","."),"-",",")</f>
        <v>2.119.149,43</v>
      </c>
      <c r="K384" s="2"/>
    </row>
    <row r="385" spans="1:11" ht="63" x14ac:dyDescent="0.25">
      <c r="A385" s="1" t="str">
        <f>"371/2012"</f>
        <v>371/2012</v>
      </c>
      <c r="B385" s="1" t="s">
        <v>14</v>
      </c>
      <c r="C385" s="1" t="s">
        <v>1744</v>
      </c>
      <c r="D385" s="1" t="str">
        <f>CONCATENATE("418-2012-EMV",CHAR(10),"2012/S 002-0024530 od 28.05.2012.")</f>
        <v>418-2012-EMV
2012/S 002-0024530 od 28.05.2012.</v>
      </c>
      <c r="E385" s="1" t="s">
        <v>15</v>
      </c>
      <c r="F385" s="1" t="str">
        <f>"1.097.998,87"</f>
        <v>1.097.998,87</v>
      </c>
      <c r="G385" s="1" t="str">
        <f>CONCATENATE("12.09.2012.",CHAR(10),"u roku od 50 dana, računajući od dana uvođenja u posao")</f>
        <v>12.09.2012.
u roku od 50 dana, računajući od dana uvođenja u posao</v>
      </c>
      <c r="H385" s="1" t="str">
        <f>CONCATENATE("OKI-MONT D.O.O., ZAGREB",CHAR(10),"KEMIS-TERMOCLEAN D.O.O., ZAGREB")</f>
        <v>OKI-MONT D.O.O., ZAGREB
KEMIS-TERMOCLEAN D.O.O., ZAGREB</v>
      </c>
      <c r="I385" s="1" t="s">
        <v>173</v>
      </c>
      <c r="J385" s="1" t="str">
        <f>CONCATENATE(SUBSTITUTE(SUBSTITUTE(SUBSTITUTE("1,490,921.10",".","-"),",","."),"-",","),CHAR(10),"konačno plaćeni iznos veći je od ugovorenog radi promjene stope PDV-a")</f>
        <v>1.490.921,10
konačno plaćeni iznos veći je od ugovorenog radi promjene stope PDV-a</v>
      </c>
      <c r="K385" s="2"/>
    </row>
    <row r="386" spans="1:11" ht="78.75" x14ac:dyDescent="0.25">
      <c r="A386" s="1" t="str">
        <f>"372/2012"</f>
        <v>372/2012</v>
      </c>
      <c r="B386" s="1" t="s">
        <v>14</v>
      </c>
      <c r="C386" s="1" t="s">
        <v>1745</v>
      </c>
      <c r="D386" s="1" t="str">
        <f>CONCATENATE("731-2012-EMV",CHAR(10),"2012/S 002-0035218 od 14.06.2012. i ispr. broj 2012/S 014-0035212 od 29.06.2012.")</f>
        <v>731-2012-EMV
2012/S 002-0035218 od 14.06.2012. i ispr. broj 2012/S 014-0035212 od 29.06.2012.</v>
      </c>
      <c r="E386" s="1" t="s">
        <v>15</v>
      </c>
      <c r="F386" s="1" t="str">
        <f>"26.820.434,70"</f>
        <v>26.820.434,70</v>
      </c>
      <c r="G386" s="1" t="str">
        <f>CONCATENATE("12.09.2012.",CHAR(10),"u roku od 18 mjeseci, računajući od dana uvođenja u posao")</f>
        <v>12.09.2012.
u roku od 18 mjeseci, računajući od dana uvođenja u posao</v>
      </c>
      <c r="H386" s="1" t="str">
        <f>CONCATENATE("ZAGREBGRADNJA D.O.O., ZAGREB")</f>
        <v>ZAGREBGRADNJA D.O.O., ZAGREB</v>
      </c>
      <c r="I386" s="2"/>
      <c r="J386" s="1"/>
      <c r="K386" s="2"/>
    </row>
    <row r="387" spans="1:11" ht="47.25" x14ac:dyDescent="0.25">
      <c r="A387" s="1" t="str">
        <f>"373/2012"</f>
        <v>373/2012</v>
      </c>
      <c r="B387" s="1" t="s">
        <v>14</v>
      </c>
      <c r="C387" s="1" t="s">
        <v>1746</v>
      </c>
      <c r="D387" s="1" t="str">
        <f>CONCATENATE("379-2012-EMV",CHAR(10),"2012/S 002-0036024 od 02.07.2012.")</f>
        <v>379-2012-EMV
2012/S 002-0036024 od 02.07.2012.</v>
      </c>
      <c r="E387" s="1" t="s">
        <v>15</v>
      </c>
      <c r="F387" s="1" t="str">
        <f>"176.500,00"</f>
        <v>176.500,00</v>
      </c>
      <c r="G387" s="1" t="str">
        <f>CONCATENATE("10.09.2012.",CHAR(10),"od potpisa ugovora do 30. lipnja 2013.")</f>
        <v>10.09.2012.
od potpisa ugovora do 30. lipnja 2013.</v>
      </c>
      <c r="H387" s="1" t="str">
        <f>CONCATENATE("HERC TOURS D.O.O., DARUVAR")</f>
        <v>HERC TOURS D.O.O., DARUVAR</v>
      </c>
      <c r="I387" s="1" t="s">
        <v>224</v>
      </c>
      <c r="J387" s="1" t="str">
        <f>SUBSTITUTE(SUBSTITUTE(SUBSTITUTE("174,293.77",".","-"),",","."),"-",",")</f>
        <v>174.293,77</v>
      </c>
      <c r="K387" s="2"/>
    </row>
    <row r="388" spans="1:11" ht="47.25" x14ac:dyDescent="0.25">
      <c r="A388" s="1" t="str">
        <f>"374/2012"</f>
        <v>374/2012</v>
      </c>
      <c r="B388" s="1" t="s">
        <v>14</v>
      </c>
      <c r="C388" s="1" t="s">
        <v>1747</v>
      </c>
      <c r="D388" s="1" t="str">
        <f>CONCATENATE("224-2012-EMV",CHAR(10),"2012/S 002-0036583 od 04.07.2012.")</f>
        <v>224-2012-EMV
2012/S 002-0036583 od 04.07.2012.</v>
      </c>
      <c r="E388" s="1" t="s">
        <v>15</v>
      </c>
      <c r="F388" s="1" t="str">
        <f>"388.070,00"</f>
        <v>388.070,00</v>
      </c>
      <c r="G388" s="1" t="str">
        <f>CONCATENATE("14.09.2012.",CHAR(10),"do 31.12.2012.")</f>
        <v>14.09.2012.
do 31.12.2012.</v>
      </c>
      <c r="H388" s="1" t="str">
        <f>CONCATENATE("MONTEL D.O.O., ZAGREB",CHAR(10),"MGV D.O.O., ZAGREB")</f>
        <v>MONTEL D.O.O., ZAGREB
MGV D.O.O., ZAGREB</v>
      </c>
      <c r="I388" s="1" t="s">
        <v>225</v>
      </c>
      <c r="J388" s="1" t="str">
        <f>SUBSTITUTE(SUBSTITUTE(SUBSTITUTE("485,050.00",".","-"),",","."),"-",",")</f>
        <v>485.050,00</v>
      </c>
      <c r="K388" s="2"/>
    </row>
    <row r="389" spans="1:11" ht="63" x14ac:dyDescent="0.25">
      <c r="A389" s="1" t="str">
        <f>"375/2012"</f>
        <v>375/2012</v>
      </c>
      <c r="B389" s="1" t="s">
        <v>14</v>
      </c>
      <c r="C389" s="1" t="s">
        <v>1748</v>
      </c>
      <c r="D389" s="1" t="str">
        <f>CONCATENATE("1107-2012-EMV",CHAR(10),"2012/S 002-0023740 od 25.05.2012.")</f>
        <v>1107-2012-EMV
2012/S 002-0023740 od 25.05.2012.</v>
      </c>
      <c r="E389" s="1" t="s">
        <v>15</v>
      </c>
      <c r="F389" s="1" t="str">
        <f>"15.700,00"</f>
        <v>15.700,00</v>
      </c>
      <c r="G389" s="1" t="str">
        <f>CONCATENATE("18.09.2012.",CHAR(10),"120 dana, računajući od dana obostranog potpisa Ugovora")</f>
        <v>18.09.2012.
120 dana, računajući od dana obostranog potpisa Ugovora</v>
      </c>
      <c r="H389" s="1" t="str">
        <f>CONCATENATE("KONČAR-INŽENJERING ZA ENERGETIKU I TRANSPORT D.D., ZAGREB")</f>
        <v>KONČAR-INŽENJERING ZA ENERGETIKU I TRANSPORT D.D., ZAGREB</v>
      </c>
      <c r="I389" s="1" t="s">
        <v>226</v>
      </c>
      <c r="J389" s="1" t="str">
        <f>SUBSTITUTE(SUBSTITUTE(SUBSTITUTE("19,625.00",".","-"),",","."),"-",",")</f>
        <v>19.625,00</v>
      </c>
      <c r="K389" s="2"/>
    </row>
    <row r="390" spans="1:11" ht="63" x14ac:dyDescent="0.25">
      <c r="A390" s="1" t="str">
        <f>"376/2012"</f>
        <v>376/2012</v>
      </c>
      <c r="B390" s="1" t="s">
        <v>14</v>
      </c>
      <c r="C390" s="1" t="s">
        <v>1749</v>
      </c>
      <c r="D390" s="1" t="str">
        <f>CONCATENATE("18-2012-EMV",CHAR(10),"2012/S 015-0054947 od 29.08.2012.")</f>
        <v>18-2012-EMV
2012/S 015-0054947 od 29.08.2012.</v>
      </c>
      <c r="E390" s="1" t="s">
        <v>40</v>
      </c>
      <c r="F390" s="1" t="str">
        <f>"483.840,00"</f>
        <v>483.840,00</v>
      </c>
      <c r="G390" s="1" t="str">
        <f>CONCATENATE("18.09.2012.",CHAR(10),"do konačnog izvršenja usluge od dana obostranog potpisa Ugovora")</f>
        <v>18.09.2012.
do konačnog izvršenja usluge od dana obostranog potpisa Ugovora</v>
      </c>
      <c r="H390" s="1" t="str">
        <f>CONCATENATE("POLIKLINIKA ZA REHABILITACIJU SLUŠANJA I GOVORA SUVAG, ZAGREB")</f>
        <v>POLIKLINIKA ZA REHABILITACIJU SLUŠANJA I GOVORA SUVAG, ZAGREB</v>
      </c>
      <c r="I390" s="1" t="s">
        <v>227</v>
      </c>
      <c r="J390" s="1" t="str">
        <f>SUBSTITUTE(SUBSTITUTE(SUBSTITUTE("392,266.00",".","-"),",","."),"-",",")</f>
        <v>392.266,00</v>
      </c>
      <c r="K390" s="2"/>
    </row>
    <row r="391" spans="1:11" ht="47.25" x14ac:dyDescent="0.25">
      <c r="A391" s="1" t="str">
        <f>"377/2012"</f>
        <v>377/2012</v>
      </c>
      <c r="B391" s="1" t="s">
        <v>14</v>
      </c>
      <c r="C391" s="1" t="s">
        <v>1750</v>
      </c>
      <c r="D391" s="1" t="str">
        <f>CONCATENATE("EV-793-012/2011",CHAR(10),"N-02-V-147497-081211 od 09.12.2011.")</f>
        <v>EV-793-012/2011
N-02-V-147497-081211 od 09.12.2011.</v>
      </c>
      <c r="E391" s="1" t="s">
        <v>15</v>
      </c>
      <c r="F391" s="1" t="str">
        <f>"512.455,50"</f>
        <v>512.455,50</v>
      </c>
      <c r="G391" s="1" t="str">
        <f>CONCATENATE("18.09.2012.",CHAR(10),"60 dana, računajući od dana uvođenja u posao")</f>
        <v>18.09.2012.
60 dana, računajući od dana uvođenja u posao</v>
      </c>
      <c r="H391" s="1" t="str">
        <f>CONCATENATE("E.G.S.-ELEKTROGRADITELJSTVO D.O.O., ZAGREB")</f>
        <v>E.G.S.-ELEKTROGRADITELJSTVO D.O.O., ZAGREB</v>
      </c>
      <c r="I391" s="1" t="s">
        <v>129</v>
      </c>
      <c r="J391" s="1" t="str">
        <f>SUBSTITUTE(SUBSTITUTE(SUBSTITUTE("616,013.75",".","-"),",","."),"-",",")</f>
        <v>616.013,75</v>
      </c>
      <c r="K391" s="2"/>
    </row>
    <row r="392" spans="1:11" ht="47.25" x14ac:dyDescent="0.25">
      <c r="A392" s="1" t="str">
        <f>"378/2012"</f>
        <v>378/2012</v>
      </c>
      <c r="B392" s="1" t="s">
        <v>14</v>
      </c>
      <c r="C392" s="1" t="s">
        <v>1751</v>
      </c>
      <c r="D392" s="1" t="str">
        <f>CONCATENATE("1926-2012-EMV",CHAR(10),"2012/S 002-0036681 od 04.07.2012.")</f>
        <v>1926-2012-EMV
2012/S 002-0036681 od 04.07.2012.</v>
      </c>
      <c r="E392" s="1" t="s">
        <v>15</v>
      </c>
      <c r="F392" s="1" t="str">
        <f>"150.035,00"</f>
        <v>150.035,00</v>
      </c>
      <c r="G392" s="1" t="str">
        <f>CONCATENATE("18.09.2012.",CHAR(10),"sukcesivno tijekom 2012")</f>
        <v>18.09.2012.
sukcesivno tijekom 2012</v>
      </c>
      <c r="H392" s="1" t="str">
        <f>CONCATENATE("''KINDER'' GRADNJA I USLUGE VL. I. KINDER, SESVETE-KRALJEVEC")</f>
        <v>''KINDER'' GRADNJA I USLUGE VL. I. KINDER, SESVETE-KRALJEVEC</v>
      </c>
      <c r="I392" s="1" t="s">
        <v>217</v>
      </c>
      <c r="J392" s="1" t="str">
        <f>SUBSTITUTE(SUBSTITUTE(SUBSTITUTE("187,536.25",".","-"),",","."),"-",",")</f>
        <v>187.536,25</v>
      </c>
      <c r="K392" s="2"/>
    </row>
    <row r="393" spans="1:11" ht="47.25" x14ac:dyDescent="0.25">
      <c r="A393" s="1" t="str">
        <f>"379/2012"</f>
        <v>379/2012</v>
      </c>
      <c r="B393" s="1" t="s">
        <v>14</v>
      </c>
      <c r="C393" s="1" t="s">
        <v>1752</v>
      </c>
      <c r="D393" s="1" t="str">
        <f>CONCATENATE("2110-2012-EMV",CHAR(10),"2012/S 002-0036234 od 03.07.2012.")</f>
        <v>2110-2012-EMV
2012/S 002-0036234 od 03.07.2012.</v>
      </c>
      <c r="E393" s="1" t="s">
        <v>15</v>
      </c>
      <c r="F393" s="1" t="str">
        <f>"286.399,00"</f>
        <v>286.399,00</v>
      </c>
      <c r="G393" s="1" t="str">
        <f>CONCATENATE("18.09.2012.",CHAR(10),"u roku od 30 dana od dana obostranog potpisa Ugovora")</f>
        <v>18.09.2012.
u roku od 30 dana od dana obostranog potpisa Ugovora</v>
      </c>
      <c r="H393" s="1" t="str">
        <f>CONCATENATE("SLIV OPREMA D.O.O., ZAGREB")</f>
        <v>SLIV OPREMA D.O.O., ZAGREB</v>
      </c>
      <c r="I393" s="1" t="s">
        <v>119</v>
      </c>
      <c r="J393" s="1" t="str">
        <f>SUBSTITUTE(SUBSTITUTE(SUBSTITUTE("357,998.75",".","-"),",","."),"-",",")</f>
        <v>357.998,75</v>
      </c>
      <c r="K393" s="2"/>
    </row>
    <row r="394" spans="1:11" ht="63" x14ac:dyDescent="0.25">
      <c r="A394" s="1" t="str">
        <f>"380/2012"</f>
        <v>380/2012</v>
      </c>
      <c r="B394" s="1" t="s">
        <v>14</v>
      </c>
      <c r="C394" s="1" t="s">
        <v>1753</v>
      </c>
      <c r="D394" s="1" t="str">
        <f>CONCATENATE("248-2012-EMV",CHAR(10),"2012/S 002-0020653 od 17.05.2012.")</f>
        <v>248-2012-EMV
2012/S 002-0020653 od 17.05.2012.</v>
      </c>
      <c r="E394" s="1" t="s">
        <v>15</v>
      </c>
      <c r="F394" s="1" t="str">
        <f>"81.650,00"</f>
        <v>81.650,00</v>
      </c>
      <c r="G394" s="1" t="str">
        <f>CONCATENATE("18.09.2012.",CHAR(10),"Roba će se isporučiti u roku od 30 dana od dana primitka pismenog naloga Naručitelja")</f>
        <v>18.09.2012.
Roba će se isporučiti u roku od 30 dana od dana primitka pismenog naloga Naručitelja</v>
      </c>
      <c r="H394" s="1" t="str">
        <f>CONCATENATE("RIO TRGOVINA D.O.O., RIJEKA")</f>
        <v>RIO TRGOVINA D.O.O., RIJEKA</v>
      </c>
      <c r="I394" s="1" t="s">
        <v>228</v>
      </c>
      <c r="J394" s="1" t="str">
        <f>SUBSTITUTE(SUBSTITUTE(SUBSTITUTE("102,062.50",".","-"),",","."),"-",",")</f>
        <v>102.062,50</v>
      </c>
      <c r="K394" s="2"/>
    </row>
    <row r="395" spans="1:11" ht="47.25" x14ac:dyDescent="0.25">
      <c r="A395" s="1" t="str">
        <f>"381/2012"</f>
        <v>381/2012</v>
      </c>
      <c r="B395" s="1" t="s">
        <v>14</v>
      </c>
      <c r="C395" s="1" t="s">
        <v>1754</v>
      </c>
      <c r="D395" s="1" t="str">
        <f>CONCATENATE("2012-2012-EMV",CHAR(10),"2012/S 002-0028912 od 11.06.2012.")</f>
        <v>2012-2012-EMV
2012/S 002-0028912 od 11.06.2012.</v>
      </c>
      <c r="E395" s="1" t="s">
        <v>15</v>
      </c>
      <c r="F395" s="1" t="str">
        <f>"1.528.715,00"</f>
        <v>1.528.715,00</v>
      </c>
      <c r="G395" s="1" t="str">
        <f>CONCATENATE("18.09.2012.",CHAR(10),"u roku od 45 dana, računajući od dana uvođenja u posao")</f>
        <v>18.09.2012.
u roku od 45 dana, računajući od dana uvođenja u posao</v>
      </c>
      <c r="H395" s="1" t="str">
        <f>CONCATENATE("M. SOLDO D.O.O., ZAGREB",CHAR(10),"GEOGIS D.O.O., ZAGREB")</f>
        <v>M. SOLDO D.O.O., ZAGREB
GEOGIS D.O.O., ZAGREB</v>
      </c>
      <c r="I395" s="1" t="s">
        <v>117</v>
      </c>
      <c r="J395" s="1" t="str">
        <f>SUBSTITUTE(SUBSTITUTE(SUBSTITUTE("1,717,151.38",".","-"),",","."),"-",",")</f>
        <v>1.717.151,38</v>
      </c>
      <c r="K395" s="2"/>
    </row>
    <row r="396" spans="1:11" ht="47.25" x14ac:dyDescent="0.25">
      <c r="A396" s="1" t="str">
        <f>"382/2012"</f>
        <v>382/2012</v>
      </c>
      <c r="B396" s="1" t="s">
        <v>14</v>
      </c>
      <c r="C396" s="1" t="s">
        <v>1755</v>
      </c>
      <c r="D396" s="1" t="str">
        <f>CONCATENATE("2059-2012-EMV",CHAR(10),"2012/S-002-0036966 od 04.07.2012.")</f>
        <v>2059-2012-EMV
2012/S-002-0036966 od 04.07.2012.</v>
      </c>
      <c r="E396" s="1" t="s">
        <v>15</v>
      </c>
      <c r="F396" s="1" t="str">
        <f>"90.794,46"</f>
        <v>90.794,46</v>
      </c>
      <c r="G396" s="1" t="str">
        <f>CONCATENATE("18.09.2012.",CHAR(10),"u roku od 30 dana, računajući od dana uvođenja u posao")</f>
        <v>18.09.2012.
u roku od 30 dana, računajući od dana uvođenja u posao</v>
      </c>
      <c r="H396" s="1" t="str">
        <f>CONCATENATE("FANOS D.O.O.,",CHAR(10),"GEO-BIM D.O.O., SAMOBOR")</f>
        <v>FANOS D.O.O.,
GEO-BIM D.O.O., SAMOBOR</v>
      </c>
      <c r="I396" s="1" t="s">
        <v>197</v>
      </c>
      <c r="J396" s="1" t="str">
        <f>SUBSTITUTE(SUBSTITUTE(SUBSTITUTE("96,989.25",".","-"),",","."),"-",",")</f>
        <v>96.989,25</v>
      </c>
      <c r="K396" s="2"/>
    </row>
    <row r="397" spans="1:11" ht="47.25" x14ac:dyDescent="0.25">
      <c r="A397" s="1" t="str">
        <f>"383/2012"</f>
        <v>383/2012</v>
      </c>
      <c r="B397" s="1" t="s">
        <v>14</v>
      </c>
      <c r="C397" s="1" t="s">
        <v>1756</v>
      </c>
      <c r="D397" s="1" t="str">
        <f>CONCATENATE("2070-2012-EMV",CHAR(10),"2012/S 002-0027691 od 06.06.2012.")</f>
        <v>2070-2012-EMV
2012/S 002-0027691 od 06.06.2012.</v>
      </c>
      <c r="E397" s="1" t="s">
        <v>15</v>
      </c>
      <c r="F397" s="1" t="str">
        <f>"168.650,00"</f>
        <v>168.650,00</v>
      </c>
      <c r="G397" s="1" t="str">
        <f>CONCATENATE("19.09.2012.",CHAR(10),"u roku od 60 dana, računajući od dana uvođenja u posao")</f>
        <v>19.09.2012.
u roku od 60 dana, računajući od dana uvođenja u posao</v>
      </c>
      <c r="H397" s="1" t="str">
        <f>CONCATENATE("MONTEL D.O.O., ZAGREB",CHAR(10),"TOPOING D.O.O., KASTAV")</f>
        <v>MONTEL D.O.O., ZAGREB
TOPOING D.O.O., KASTAV</v>
      </c>
      <c r="I397" s="2"/>
      <c r="J397" s="1"/>
      <c r="K397" s="2"/>
    </row>
    <row r="398" spans="1:11" ht="78.75" x14ac:dyDescent="0.25">
      <c r="A398" s="1" t="str">
        <f>"384/2012"</f>
        <v>384/2012</v>
      </c>
      <c r="B398" s="1" t="s">
        <v>14</v>
      </c>
      <c r="C398" s="1" t="s">
        <v>1757</v>
      </c>
      <c r="D398" s="1" t="str">
        <f>CONCATENATE("876-2012-EMV",CHAR(10),"2012/S 002-0019444 od 15.05.2012.")</f>
        <v>876-2012-EMV
2012/S 002-0019444 od 15.05.2012.</v>
      </c>
      <c r="E398" s="1" t="s">
        <v>15</v>
      </c>
      <c r="F398" s="1" t="str">
        <f>"117.800,00"</f>
        <v>117.800,00</v>
      </c>
      <c r="G398" s="1" t="str">
        <f>CONCATENATE("19.09.2012.",CHAR(10),"u roku od 2 mjeseca, računajući od dana obostranog potpisa Ugovora")</f>
        <v>19.09.2012.
u roku od 2 mjeseca, računajući od dana obostranog potpisa Ugovora</v>
      </c>
      <c r="H398" s="1" t="str">
        <f>CONCATENATE("INŽENJERSKI PROJEKTNI ZAVOD D.D., ZAGREB",CHAR(10),"ABC ING D.O.O., ZAGREB-DUBRAVA",CHAR(10),"IPT-INŽENJERING D.O.O., ZAGREB",CHAR(10),"PROJEKTNI BIRO AK D.O.O., ZAGREB")</f>
        <v>INŽENJERSKI PROJEKTNI ZAVOD D.D., ZAGREB
ABC ING D.O.O., ZAGREB-DUBRAVA
IPT-INŽENJERING D.O.O., ZAGREB
PROJEKTNI BIRO AK D.O.O., ZAGREB</v>
      </c>
      <c r="I398" s="2"/>
      <c r="J398" s="1"/>
      <c r="K398" s="2"/>
    </row>
    <row r="399" spans="1:11" ht="47.25" x14ac:dyDescent="0.25">
      <c r="A399" s="1" t="str">
        <f>"385/2012"</f>
        <v>385/2012</v>
      </c>
      <c r="B399" s="1" t="s">
        <v>14</v>
      </c>
      <c r="C399" s="1" t="s">
        <v>1758</v>
      </c>
      <c r="D399" s="1" t="str">
        <f>CONCATENATE("784-2012-EMV",CHAR(10),"2012/S 002-0024990 od 29.05.2012.")</f>
        <v>784-2012-EMV
2012/S 002-0024990 od 29.05.2012.</v>
      </c>
      <c r="E399" s="1" t="s">
        <v>15</v>
      </c>
      <c r="F399" s="1" t="str">
        <f>"842.458,00"</f>
        <v>842.458,00</v>
      </c>
      <c r="G399" s="1" t="str">
        <f>CONCATENATE("19.09.2012.",CHAR(10),"u roku od 60 dana, računajući od dana uvođenja u posao")</f>
        <v>19.09.2012.
u roku od 60 dana, računajući od dana uvođenja u posao</v>
      </c>
      <c r="H399" s="1" t="str">
        <f>CONCATENATE("M. SOLDO D.O.O., ZAGREB",CHAR(10),"GEOGIS D.O.O., ZAGREB")</f>
        <v>M. SOLDO D.O.O., ZAGREB
GEOGIS D.O.O., ZAGREB</v>
      </c>
      <c r="I399" s="1" t="s">
        <v>90</v>
      </c>
      <c r="J399" s="1" t="str">
        <f>SUBSTITUTE(SUBSTITUTE(SUBSTITUTE("1,052,942.43",".","-"),",","."),"-",",")</f>
        <v>1.052.942,43</v>
      </c>
      <c r="K399" s="2"/>
    </row>
    <row r="400" spans="1:11" ht="47.25" x14ac:dyDescent="0.25">
      <c r="A400" s="1" t="str">
        <f>"386/2012"</f>
        <v>386/2012</v>
      </c>
      <c r="B400" s="1" t="s">
        <v>14</v>
      </c>
      <c r="C400" s="1" t="s">
        <v>1759</v>
      </c>
      <c r="D400" s="1" t="str">
        <f>CONCATENATE("2466-2012-EMV",CHAR(10),"2012/S 015-0055532 od 31.08.2012.")</f>
        <v>2466-2012-EMV
2012/S 015-0055532 od 31.08.2012.</v>
      </c>
      <c r="E400" s="1" t="s">
        <v>12</v>
      </c>
      <c r="F400" s="1" t="str">
        <f>"609.917,07"</f>
        <v>609.917,07</v>
      </c>
      <c r="G400" s="1" t="str">
        <f>CONCATENATE("19.09.2012.",CHAR(10),"u roku od 60 dana, računajući od dana uvođenja u posao")</f>
        <v>19.09.2012.
u roku od 60 dana, računajući od dana uvođenja u posao</v>
      </c>
      <c r="H400" s="1" t="str">
        <f>CONCATENATE("TIGRA D.O.O., ZAGREB")</f>
        <v>TIGRA D.O.O., ZAGREB</v>
      </c>
      <c r="I400" s="1" t="s">
        <v>229</v>
      </c>
      <c r="J400" s="1" t="str">
        <f>SUBSTITUTE(SUBSTITUTE(SUBSTITUTE("761,987.21",".","-"),",","."),"-",",")</f>
        <v>761.987,21</v>
      </c>
      <c r="K400" s="2"/>
    </row>
    <row r="401" spans="1:11" ht="47.25" x14ac:dyDescent="0.25">
      <c r="A401" s="1" t="str">
        <f>"387/2012"</f>
        <v>387/2012</v>
      </c>
      <c r="B401" s="1" t="s">
        <v>14</v>
      </c>
      <c r="C401" s="1" t="s">
        <v>1760</v>
      </c>
      <c r="D401" s="1" t="str">
        <f>CONCATENATE("301-2012-EMV",CHAR(10),"2012/S 002-0040465 od 13.07.2012.")</f>
        <v>301-2012-EMV
2012/S 002-0040465 od 13.07.2012.</v>
      </c>
      <c r="E401" s="1" t="s">
        <v>15</v>
      </c>
      <c r="F401" s="1" t="str">
        <f>"139.348,79"</f>
        <v>139.348,79</v>
      </c>
      <c r="G401" s="1" t="str">
        <f>CONCATENATE("19.09.2012.",CHAR(10),"u roku od 12 mjeseci od dana obostranog potpisa Ugovora")</f>
        <v>19.09.2012.
u roku od 12 mjeseci od dana obostranog potpisa Ugovora</v>
      </c>
      <c r="H401" s="1" t="str">
        <f>CONCATENATE("BIRODOM D.O.O., LUČKO")</f>
        <v>BIRODOM D.O.O., LUČKO</v>
      </c>
      <c r="I401" s="1" t="s">
        <v>65</v>
      </c>
      <c r="J401" s="1" t="str">
        <f>SUBSTITUTE(SUBSTITUTE(SUBSTITUTE("168,915.35",".","-"),",","."),"-",",")</f>
        <v>168.915,35</v>
      </c>
      <c r="K401" s="2"/>
    </row>
    <row r="402" spans="1:11" ht="47.25" x14ac:dyDescent="0.25">
      <c r="A402" s="1" t="str">
        <f>"388/2012"</f>
        <v>388/2012</v>
      </c>
      <c r="B402" s="1" t="s">
        <v>14</v>
      </c>
      <c r="C402" s="1" t="s">
        <v>1761</v>
      </c>
      <c r="D402" s="1" t="str">
        <f>CONCATENATE("828-2012-EMV",CHAR(10),"2012/S 002-0020830 od 17.05.2012.")</f>
        <v>828-2012-EMV
2012/S 002-0020830 od 17.05.2012.</v>
      </c>
      <c r="E402" s="1" t="s">
        <v>15</v>
      </c>
      <c r="F402" s="1" t="str">
        <f>"180.223,00"</f>
        <v>180.223,00</v>
      </c>
      <c r="G402" s="1" t="str">
        <f>CONCATENATE("19.09.2012.",CHAR(10),"u roku od 45 dana, računajući od dana uvođenja u posao")</f>
        <v>19.09.2012.
u roku od 45 dana, računajući od dana uvođenja u posao</v>
      </c>
      <c r="H402" s="1" t="str">
        <f>CONCATENATE("NERING D.O.O., SESVETE",CHAR(10),"MJERNIK LIMA D.O.O., ZAGREB")</f>
        <v>NERING D.O.O., SESVETE
MJERNIK LIMA D.O.O., ZAGREB</v>
      </c>
      <c r="I402" s="1" t="s">
        <v>67</v>
      </c>
      <c r="J402" s="1" t="str">
        <f>SUBSTITUTE(SUBSTITUTE(SUBSTITUTE("225,109.21",".","-"),",","."),"-",",")</f>
        <v>225.109,21</v>
      </c>
      <c r="K402" s="2"/>
    </row>
    <row r="403" spans="1:11" ht="78.75" x14ac:dyDescent="0.25">
      <c r="A403" s="1" t="str">
        <f>"389/2012"</f>
        <v>389/2012</v>
      </c>
      <c r="B403" s="1" t="s">
        <v>26</v>
      </c>
      <c r="C403" s="1" t="s">
        <v>230</v>
      </c>
      <c r="D403" s="1" t="str">
        <f>CONCATENATE("137-2012-EVV",CHAR(10),"2012/S 002-0015406 od 30.04.2012.")</f>
        <v>137-2012-EVV
2012/S 002-0015406 od 30.04.2012.</v>
      </c>
      <c r="E403" s="1" t="s">
        <v>97</v>
      </c>
      <c r="F403" s="1" t="str">
        <f>"1.360.800,00"</f>
        <v>1.360.800,00</v>
      </c>
      <c r="G403" s="1" t="str">
        <f>CONCATENATE("21.09.2012.",CHAR(10),"12 mjeseci od dana obostranog potpisa Ugovora")</f>
        <v>21.09.2012.
12 mjeseci od dana obostranog potpisa Ugovora</v>
      </c>
      <c r="H403" s="1" t="str">
        <f>CONCATENATE("OMEGA SOFTWARE D.O.O., ZAGREB-SLOBOŠTINA")</f>
        <v>OMEGA SOFTWARE D.O.O., ZAGREB-SLOBOŠTINA</v>
      </c>
      <c r="I403" s="1" t="s">
        <v>231</v>
      </c>
      <c r="J403" s="1" t="str">
        <f>SUBSTITUTE(SUBSTITUTE(SUBSTITUTE("1,701,000.00",".","-"),",","."),"-",",")</f>
        <v>1.701.000,00</v>
      </c>
      <c r="K403" s="2"/>
    </row>
    <row r="404" spans="1:11" ht="47.25" x14ac:dyDescent="0.25">
      <c r="A404" s="1" t="str">
        <f>"A-9/2012"</f>
        <v>A-9/2012</v>
      </c>
      <c r="B404" s="1" t="s">
        <v>11</v>
      </c>
      <c r="C404" s="1" t="s">
        <v>1762</v>
      </c>
      <c r="D404" s="1" t="str">
        <f>"EV-572-012/2011"</f>
        <v>EV-572-012/2011</v>
      </c>
      <c r="E404" s="2"/>
      <c r="F404" s="1" t="str">
        <f>"0,00"</f>
        <v>0,00</v>
      </c>
      <c r="G404" s="1" t="str">
        <f>CONCATENATE("24.09.2012.",CHAR(10),"do 30. listopada 2012.")</f>
        <v>24.09.2012.
do 30. listopada 2012.</v>
      </c>
      <c r="H404" s="1" t="str">
        <f>CONCATENATE("TEH-GRADNJA D.O.O., ZAGREB")</f>
        <v>TEH-GRADNJA D.O.O., ZAGREB</v>
      </c>
      <c r="I404" s="2"/>
      <c r="J404" s="1"/>
      <c r="K404" s="2"/>
    </row>
    <row r="405" spans="1:11" ht="47.25" x14ac:dyDescent="0.25">
      <c r="A405" s="1" t="str">
        <f>"390/2012"</f>
        <v>390/2012</v>
      </c>
      <c r="B405" s="1" t="s">
        <v>14</v>
      </c>
      <c r="C405" s="1" t="s">
        <v>1763</v>
      </c>
      <c r="D405" s="1" t="str">
        <f>CONCATENATE("2011-2012-EMV",CHAR(10),"2012/S 015-0057373 od 06.09.2012.")</f>
        <v>2011-2012-EMV
2012/S 015-0057373 od 06.09.2012.</v>
      </c>
      <c r="E405" s="1" t="s">
        <v>12</v>
      </c>
      <c r="F405" s="1" t="str">
        <f>"269.812,95"</f>
        <v>269.812,95</v>
      </c>
      <c r="G405" s="1" t="str">
        <f>CONCATENATE("24.09.2012.",CHAR(10),"u roku od 45 dana računajući od dana uvođenja u posao")</f>
        <v>24.09.2012.
u roku od 45 dana računajući od dana uvođenja u posao</v>
      </c>
      <c r="H405" s="1" t="str">
        <f>CONCATENATE("GIP PIONIR D.O.O., ZAGREB",CHAR(10),"MGV D.O.O., ZAGREB")</f>
        <v>GIP PIONIR D.O.O., ZAGREB
MGV D.O.O., ZAGREB</v>
      </c>
      <c r="I405" s="1" t="s">
        <v>232</v>
      </c>
      <c r="J405" s="1" t="str">
        <f>SUBSTITUTE(SUBSTITUTE(SUBSTITUTE("336,141.19",".","-"),",","."),"-",",")</f>
        <v>336.141,19</v>
      </c>
      <c r="K405" s="2"/>
    </row>
    <row r="406" spans="1:11" ht="47.25" x14ac:dyDescent="0.25">
      <c r="A406" s="1" t="str">
        <f>"391/2012"</f>
        <v>391/2012</v>
      </c>
      <c r="B406" s="1" t="s">
        <v>14</v>
      </c>
      <c r="C406" s="1" t="s">
        <v>1764</v>
      </c>
      <c r="D406" s="1" t="str">
        <f>CONCATENATE("2071-2012-EMV",CHAR(10),"2012/S 002-0026245 od 01.06.2012.")</f>
        <v>2071-2012-EMV
2012/S 002-0026245 od 01.06.2012.</v>
      </c>
      <c r="E406" s="1" t="s">
        <v>15</v>
      </c>
      <c r="F406" s="1" t="str">
        <f>"681.945,00"</f>
        <v>681.945,00</v>
      </c>
      <c r="G406" s="1" t="str">
        <f>CONCATENATE("25.09.2012.",CHAR(10),"60 dana, računajući od dana uvođenja u posao")</f>
        <v>25.09.2012.
60 dana, računajući od dana uvođenja u posao</v>
      </c>
      <c r="H406" s="1" t="str">
        <f>CONCATENATE("AMB GRADNJA D.O.O., ZAGREB",CHAR(10),"GEOFORMAT D.O.O., ZAGREB")</f>
        <v>AMB GRADNJA D.O.O., ZAGREB
GEOFORMAT D.O.O., ZAGREB</v>
      </c>
      <c r="I406" s="2"/>
      <c r="J406" s="1"/>
      <c r="K406" s="2"/>
    </row>
    <row r="407" spans="1:11" ht="47.25" x14ac:dyDescent="0.25">
      <c r="A407" s="1" t="str">
        <f>"392/2012"</f>
        <v>392/2012</v>
      </c>
      <c r="B407" s="1" t="s">
        <v>14</v>
      </c>
      <c r="C407" s="1" t="s">
        <v>1765</v>
      </c>
      <c r="D407" s="1" t="str">
        <f>CONCATENATE("1097-2012-EMV",CHAR(10),"2012/S 002-0017049 od 07.05.2012.")</f>
        <v>1097-2012-EMV
2012/S 002-0017049 od 07.05.2012.</v>
      </c>
      <c r="E407" s="1" t="s">
        <v>15</v>
      </c>
      <c r="F407" s="1" t="str">
        <f>"71.378,75"</f>
        <v>71.378,75</v>
      </c>
      <c r="G407" s="1" t="str">
        <f>CONCATENATE("26.09.2012.",CHAR(10),"u roku od 1 mjeseca od dana uvođenja u posao")</f>
        <v>26.09.2012.
u roku od 1 mjeseca od dana uvođenja u posao</v>
      </c>
      <c r="H407" s="1" t="str">
        <f>CONCATENATE("OBRTNIČKA ZADRUGA INTEGRAD, ZAGREB")</f>
        <v>OBRTNIČKA ZADRUGA INTEGRAD, ZAGREB</v>
      </c>
      <c r="I407" s="2"/>
      <c r="J407" s="1"/>
      <c r="K407" s="2"/>
    </row>
    <row r="408" spans="1:11" ht="47.25" x14ac:dyDescent="0.25">
      <c r="A408" s="1" t="str">
        <f>"393/2012"</f>
        <v>393/2012</v>
      </c>
      <c r="B408" s="1" t="s">
        <v>14</v>
      </c>
      <c r="C408" s="1" t="s">
        <v>1766</v>
      </c>
      <c r="D408" s="1" t="str">
        <f>CONCATENATE("246-2012-EMV",CHAR(10),"2012/S 002-0022686 od 23.05.2012.")</f>
        <v>246-2012-EMV
2012/S 002-0022686 od 23.05.2012.</v>
      </c>
      <c r="E408" s="1" t="s">
        <v>15</v>
      </c>
      <c r="F408" s="1" t="str">
        <f>"197.030,00"</f>
        <v>197.030,00</v>
      </c>
      <c r="G408" s="1" t="str">
        <f>CONCATENATE("26.09.2012.",CHAR(10),"tijekom 12 mjeseci od dana obostranog potpisa Ugovora")</f>
        <v>26.09.2012.
tijekom 12 mjeseci od dana obostranog potpisa Ugovora</v>
      </c>
      <c r="H408" s="1" t="str">
        <f>CONCATENATE("UGO ŠARIĆ D.O.O., ZAGREB")</f>
        <v>UGO ŠARIĆ D.O.O., ZAGREB</v>
      </c>
      <c r="I408" s="1" t="s">
        <v>233</v>
      </c>
      <c r="J408" s="1" t="str">
        <f>SUBSTITUTE(SUBSTITUTE(SUBSTITUTE("164,448.75",".","-"),",","."),"-",",")</f>
        <v>164.448,75</v>
      </c>
      <c r="K408" s="2"/>
    </row>
    <row r="409" spans="1:11" ht="63" x14ac:dyDescent="0.25">
      <c r="A409" s="1" t="str">
        <f>"A-10/2012"</f>
        <v>A-10/2012</v>
      </c>
      <c r="B409" s="1" t="s">
        <v>11</v>
      </c>
      <c r="C409" s="1" t="s">
        <v>1767</v>
      </c>
      <c r="D409" s="1" t="str">
        <f>"1757-2012-EMV"</f>
        <v>1757-2012-EMV</v>
      </c>
      <c r="E409" s="2"/>
      <c r="F409" s="1" t="str">
        <f>"0,00"</f>
        <v>0,00</v>
      </c>
      <c r="G409" s="1" t="str">
        <f>CONCATENATE("26.09.2012.",CHAR(10),"istovjetan osnovnom ugovoru - 15 dana od dana obostranog potpisa ovog Ugovora")</f>
        <v>26.09.2012.
istovjetan osnovnom ugovoru - 15 dana od dana obostranog potpisa ovog Ugovora</v>
      </c>
      <c r="H409" s="1" t="str">
        <f>CONCATENATE("BIRODOM D.O.O., LUČKO")</f>
        <v>BIRODOM D.O.O., LUČKO</v>
      </c>
      <c r="I409" s="2"/>
      <c r="J409" s="1"/>
      <c r="K409" s="2"/>
    </row>
    <row r="410" spans="1:11" ht="47.25" x14ac:dyDescent="0.25">
      <c r="A410" s="1" t="str">
        <f>"394/2012"</f>
        <v>394/2012</v>
      </c>
      <c r="B410" s="1" t="s">
        <v>14</v>
      </c>
      <c r="C410" s="1" t="s">
        <v>1768</v>
      </c>
      <c r="D410" s="1" t="str">
        <f>CONCATENATE("1909-2012-EMV",CHAR(10),"2012/S 002-0036729 od 04.07.2012.")</f>
        <v>1909-2012-EMV
2012/S 002-0036729 od 04.07.2012.</v>
      </c>
      <c r="E410" s="1" t="s">
        <v>15</v>
      </c>
      <c r="F410" s="1" t="str">
        <f>"428.150,28"</f>
        <v>428.150,28</v>
      </c>
      <c r="G410" s="1" t="str">
        <f>CONCATENATE("26.09.2012.",CHAR(10),"60 dana, računajući od dana uvođenja u posao")</f>
        <v>26.09.2012.
60 dana, računajući od dana uvođenja u posao</v>
      </c>
      <c r="H410" s="1" t="str">
        <f>CONCATENATE("''KINDER'' GRADNJA I USLUGE VL. I. KINDER, SESVETE-KRALJEVEC",CHAR(10),"PERVISUS D.O.O., ZAGREB")</f>
        <v>''KINDER'' GRADNJA I USLUGE VL. I. KINDER, SESVETE-KRALJEVEC
PERVISUS D.O.O., ZAGREB</v>
      </c>
      <c r="I410" s="1" t="s">
        <v>222</v>
      </c>
      <c r="J410" s="1" t="str">
        <f>SUBSTITUTE(SUBSTITUTE(SUBSTITUTE("535,152.23",".","-"),",","."),"-",",")</f>
        <v>535.152,23</v>
      </c>
      <c r="K410" s="2"/>
    </row>
    <row r="411" spans="1:11" ht="47.25" x14ac:dyDescent="0.25">
      <c r="A411" s="1" t="str">
        <f>"395/2012"</f>
        <v>395/2012</v>
      </c>
      <c r="B411" s="1" t="s">
        <v>14</v>
      </c>
      <c r="C411" s="1" t="s">
        <v>1769</v>
      </c>
      <c r="D411" s="1" t="str">
        <f>CONCATENATE("794-2012-EMV",CHAR(10),"2012/S 002-0032594 od 20.06.2012.")</f>
        <v>794-2012-EMV
2012/S 002-0032594 od 20.06.2012.</v>
      </c>
      <c r="E411" s="1" t="s">
        <v>15</v>
      </c>
      <c r="F411" s="1" t="str">
        <f>"641.900,00"</f>
        <v>641.900,00</v>
      </c>
      <c r="G411" s="1" t="str">
        <f>CONCATENATE("26.09.2012.",CHAR(10),"u roku od 3 mjeseca")</f>
        <v>26.09.2012.
u roku od 3 mjeseca</v>
      </c>
      <c r="H411" s="1" t="str">
        <f>CONCATENATE("ZAGREBAČKI HOLDING D.O.O., PODRUŽNICA ZRINJEVAC, ZAGREB")</f>
        <v>ZAGREBAČKI HOLDING D.O.O., PODRUŽNICA ZRINJEVAC, ZAGREB</v>
      </c>
      <c r="I411" s="2"/>
      <c r="J411" s="1"/>
      <c r="K411" s="2"/>
    </row>
    <row r="412" spans="1:11" ht="47.25" x14ac:dyDescent="0.25">
      <c r="A412" s="1" t="str">
        <f>"396/2012"</f>
        <v>396/2012</v>
      </c>
      <c r="B412" s="1" t="s">
        <v>14</v>
      </c>
      <c r="C412" s="1" t="s">
        <v>1770</v>
      </c>
      <c r="D412" s="1" t="str">
        <f>CONCATENATE("437-2012-EMV",CHAR(10),"2012/S 002-0085982 od 29.11.2012.")</f>
        <v>437-2012-EMV
2012/S 002-0085982 od 29.11.2012.</v>
      </c>
      <c r="E412" s="1" t="s">
        <v>12</v>
      </c>
      <c r="F412" s="1" t="str">
        <f>"742.413,40"</f>
        <v>742.413,40</v>
      </c>
      <c r="G412" s="1" t="str">
        <f>CONCATENATE("26.09.2012.",CHAR(10),"u roku od 60 dana, računajući od dana uvođenja u posao")</f>
        <v>26.09.2012.
u roku od 60 dana, računajući od dana uvođenja u posao</v>
      </c>
      <c r="H412" s="1" t="str">
        <f>CONCATENATE("MEŠIĆ COM D.O.O., ZAGREB",CHAR(10),"TELEKTRA D.O.O., SESVETE")</f>
        <v>MEŠIĆ COM D.O.O., ZAGREB
TELEKTRA D.O.O., SESVETE</v>
      </c>
      <c r="I412" s="2"/>
      <c r="J412" s="1"/>
      <c r="K412" s="2"/>
    </row>
    <row r="413" spans="1:11" ht="78.75" x14ac:dyDescent="0.25">
      <c r="A413" s="1" t="str">
        <f>"397/2012"</f>
        <v>397/2012</v>
      </c>
      <c r="B413" s="1" t="s">
        <v>14</v>
      </c>
      <c r="C413" s="1" t="s">
        <v>1771</v>
      </c>
      <c r="D413" s="1" t="str">
        <f>CONCATENATE("1755-2012-EMV",CHAR(10),"2012/S 002-0026033 od 31.05.2012.")</f>
        <v>1755-2012-EMV
2012/S 002-0026033 od 31.05.2012.</v>
      </c>
      <c r="E413" s="1" t="s">
        <v>15</v>
      </c>
      <c r="F413" s="1" t="str">
        <f>"859.203,94"</f>
        <v>859.203,94</v>
      </c>
      <c r="G413" s="1" t="str">
        <f>CONCATENATE("26.09.2012.",CHAR(10),"tijekom 2012., računajući od dana obostraog potpisa Ugovora, zaključno sa 31.12.2012.")</f>
        <v>26.09.2012.
tijekom 2012., računajući od dana obostraog potpisa Ugovora, zaključno sa 31.12.2012.</v>
      </c>
      <c r="H413" s="1" t="str">
        <f>CONCATENATE("GDI GISDATA D.O.O., ZAGREB")</f>
        <v>GDI GISDATA D.O.O., ZAGREB</v>
      </c>
      <c r="I413" s="1" t="s">
        <v>80</v>
      </c>
      <c r="J413" s="1" t="str">
        <f>SUBSTITUTE(SUBSTITUTE(SUBSTITUTE("1,074,004.90",".","-"),",","."),"-",",")</f>
        <v>1.074.004,90</v>
      </c>
      <c r="K413" s="2"/>
    </row>
    <row r="414" spans="1:11" ht="78.75" x14ac:dyDescent="0.25">
      <c r="A414" s="1" t="str">
        <f>"398/2012"</f>
        <v>398/2012</v>
      </c>
      <c r="B414" s="1" t="s">
        <v>14</v>
      </c>
      <c r="C414" s="1" t="s">
        <v>1772</v>
      </c>
      <c r="D414" s="1" t="str">
        <f>CONCATENATE("1755-2012-EMV",CHAR(10),"2012/S 002-0026033 od 31.05.2012.")</f>
        <v>1755-2012-EMV
2012/S 002-0026033 od 31.05.2012.</v>
      </c>
      <c r="E414" s="1" t="s">
        <v>15</v>
      </c>
      <c r="F414" s="1" t="str">
        <f>"388.950,00"</f>
        <v>388.950,00</v>
      </c>
      <c r="G414" s="1" t="str">
        <f>CONCATENATE("26.09.2012.",CHAR(10),"tijekom 2012., računajući od dana obostranog potpisa Ugovora, zaključno s 31.12.2012.")</f>
        <v>26.09.2012.
tijekom 2012., računajući od dana obostranog potpisa Ugovora, zaključno s 31.12.2012.</v>
      </c>
      <c r="H414" s="1" t="str">
        <f>CONCATENATE("MULTISOFT D.O.O., ZAGREB")</f>
        <v>MULTISOFT D.O.O., ZAGREB</v>
      </c>
      <c r="I414" s="1" t="s">
        <v>80</v>
      </c>
      <c r="J414" s="1" t="str">
        <f>SUBSTITUTE(SUBSTITUTE(SUBSTITUTE("486,187.51",".","-"),",","."),"-",",")</f>
        <v>486.187,51</v>
      </c>
      <c r="K414" s="2"/>
    </row>
    <row r="415" spans="1:11" ht="63" x14ac:dyDescent="0.25">
      <c r="A415" s="1" t="str">
        <f>"399/2012"</f>
        <v>399/2012</v>
      </c>
      <c r="B415" s="1" t="s">
        <v>14</v>
      </c>
      <c r="C415" s="1" t="s">
        <v>1773</v>
      </c>
      <c r="D415" s="1" t="str">
        <f>CONCATENATE("1079-2012-EMV",CHAR(10),"2012/S 002-0020366 od 16.05.2012.")</f>
        <v>1079-2012-EMV
2012/S 002-0020366 od 16.05.2012.</v>
      </c>
      <c r="E415" s="1" t="s">
        <v>15</v>
      </c>
      <c r="F415" s="1" t="str">
        <f>"198.378,16"</f>
        <v>198.378,16</v>
      </c>
      <c r="G415" s="1" t="str">
        <f>CONCATENATE("26.09.2012.",CHAR(10),"krajnji rok izvršenja je 12 mjeseci od dana obostranog potpisa Ugovora")</f>
        <v>26.09.2012.
krajnji rok izvršenja je 12 mjeseci od dana obostranog potpisa Ugovora</v>
      </c>
      <c r="H415" s="1" t="str">
        <f>CONCATENATE("K.G.V.H. EKO D.O.O., ZAGREB",CHAR(10),"SANATIO D.O.O., ZAGREB")</f>
        <v>K.G.V.H. EKO D.O.O., ZAGREB
SANATIO D.O.O., ZAGREB</v>
      </c>
      <c r="I415" s="1" t="s">
        <v>234</v>
      </c>
      <c r="J415" s="1" t="str">
        <f>SUBSTITUTE(SUBSTITUTE(SUBSTITUTE("216,439.27",".","-"),",","."),"-",",")</f>
        <v>216.439,27</v>
      </c>
      <c r="K415" s="2"/>
    </row>
    <row r="416" spans="1:11" ht="47.25" x14ac:dyDescent="0.25">
      <c r="A416" s="1" t="str">
        <f>"400/2012"</f>
        <v>400/2012</v>
      </c>
      <c r="B416" s="1" t="s">
        <v>14</v>
      </c>
      <c r="C416" s="1" t="s">
        <v>1774</v>
      </c>
      <c r="D416" s="1" t="str">
        <f>CONCATENATE("1082-2012-EMV",CHAR(10),"2012/S-002-0030536 od 14.06.2012.")</f>
        <v>1082-2012-EMV
2012/S-002-0030536 od 14.06.2012.</v>
      </c>
      <c r="E416" s="1" t="s">
        <v>15</v>
      </c>
      <c r="F416" s="1" t="str">
        <f>"118.330,00"</f>
        <v>118.330,00</v>
      </c>
      <c r="G416" s="1" t="str">
        <f>CONCATENATE("27.09.2012.",CHAR(10),"12 mjeseci, računajući od dana obostranog potpisa Ugovora")</f>
        <v>27.09.2012.
12 mjeseci, računajući od dana obostranog potpisa Ugovora</v>
      </c>
      <c r="H416" s="1" t="str">
        <f>CONCATENATE("ADEO D.O.O., OSIJEK")</f>
        <v>ADEO D.O.O., OSIJEK</v>
      </c>
      <c r="I416" s="1" t="s">
        <v>235</v>
      </c>
      <c r="J416" s="1" t="str">
        <f>SUBSTITUTE(SUBSTITUTE(SUBSTITUTE("134,900.00",".","-"),",","."),"-",",")</f>
        <v>134.900,00</v>
      </c>
      <c r="K416" s="2"/>
    </row>
    <row r="417" spans="1:11" ht="63" x14ac:dyDescent="0.25">
      <c r="A417" s="1" t="str">
        <f>"R-3/2012"</f>
        <v>R-3/2012</v>
      </c>
      <c r="B417" s="1" t="s">
        <v>56</v>
      </c>
      <c r="C417" s="1" t="s">
        <v>1775</v>
      </c>
      <c r="D417" s="1" t="str">
        <f>"EV-392-012/2010"</f>
        <v>EV-392-012/2010</v>
      </c>
      <c r="E417" s="2"/>
      <c r="F417" s="1" t="str">
        <f>"0,00"</f>
        <v>0,00</v>
      </c>
      <c r="G417" s="1" t="str">
        <f>"27.09.2012."</f>
        <v>27.09.2012.</v>
      </c>
      <c r="H417" s="1" t="str">
        <f>CONCATENATE("GAMONT D.O.O., ZAGREB")</f>
        <v>GAMONT D.O.O., ZAGREB</v>
      </c>
      <c r="I417" s="2"/>
      <c r="J417" s="1"/>
      <c r="K417" s="2"/>
    </row>
    <row r="418" spans="1:11" ht="47.25" x14ac:dyDescent="0.25">
      <c r="A418" s="1" t="str">
        <f>"401/2012"</f>
        <v>401/2012</v>
      </c>
      <c r="B418" s="1" t="s">
        <v>14</v>
      </c>
      <c r="C418" s="1" t="s">
        <v>1776</v>
      </c>
      <c r="D418" s="1" t="str">
        <f>CONCATENATE("1937-2012-EMV",CHAR(10),"2012/S 002-0041450 od 17.07.2012.")</f>
        <v>1937-2012-EMV
2012/S 002-0041450 od 17.07.2012.</v>
      </c>
      <c r="E418" s="1" t="s">
        <v>15</v>
      </c>
      <c r="F418" s="1" t="str">
        <f>"47.008,00"</f>
        <v>47.008,00</v>
      </c>
      <c r="G418" s="1" t="str">
        <f>CONCATENATE("27.09.2012.",CHAR(10),"u roku od 30 dana od dana uvođenja u posao")</f>
        <v>27.09.2012.
u roku od 30 dana od dana uvođenja u posao</v>
      </c>
      <c r="H418" s="1" t="str">
        <f>CONCATENATE("SPEKTAR GRADNJA D.O.O., ZAGREB")</f>
        <v>SPEKTAR GRADNJA D.O.O., ZAGREB</v>
      </c>
      <c r="I418" s="1" t="s">
        <v>206</v>
      </c>
      <c r="J418" s="1" t="str">
        <f>SUBSTITUTE(SUBSTITUTE(SUBSTITUTE("58,760.00",".","-"),",","."),"-",",")</f>
        <v>58.760,00</v>
      </c>
      <c r="K418" s="2"/>
    </row>
    <row r="419" spans="1:11" ht="47.25" x14ac:dyDescent="0.25">
      <c r="A419" s="1" t="str">
        <f>"402/2012"</f>
        <v>402/2012</v>
      </c>
      <c r="B419" s="1" t="s">
        <v>14</v>
      </c>
      <c r="C419" s="1" t="s">
        <v>1777</v>
      </c>
      <c r="D419" s="1" t="str">
        <f>CONCATENATE("1946-2012-EMV",CHAR(10),"2012/S 002-0042162 od 18.07.2012.")</f>
        <v>1946-2012-EMV
2012/S 002-0042162 od 18.07.2012.</v>
      </c>
      <c r="E419" s="1" t="s">
        <v>15</v>
      </c>
      <c r="F419" s="1" t="str">
        <f>"617.855,00"</f>
        <v>617.855,00</v>
      </c>
      <c r="G419" s="1" t="str">
        <f>CONCATENATE("27.09.2012.",CHAR(10),"u roku od 60 dana od dana uvođenja u posao")</f>
        <v>27.09.2012.
u roku od 60 dana od dana uvođenja u posao</v>
      </c>
      <c r="H419" s="1" t="str">
        <f>CONCATENATE("SPEKTAR GRADNJA D.O.O., ZAGREB")</f>
        <v>SPEKTAR GRADNJA D.O.O., ZAGREB</v>
      </c>
      <c r="I419" s="1" t="s">
        <v>236</v>
      </c>
      <c r="J419" s="1" t="str">
        <f>SUBSTITUTE(SUBSTITUTE(SUBSTITUTE("770,631.25",".","-"),",","."),"-",",")</f>
        <v>770.631,25</v>
      </c>
      <c r="K419" s="2"/>
    </row>
    <row r="420" spans="1:11" ht="47.25" x14ac:dyDescent="0.25">
      <c r="A420" s="1" t="str">
        <f>"403/2012"</f>
        <v>403/2012</v>
      </c>
      <c r="B420" s="1" t="s">
        <v>14</v>
      </c>
      <c r="C420" s="1" t="s">
        <v>1778</v>
      </c>
      <c r="D420" s="1" t="str">
        <f>CONCATENATE("1923-2012-EMV",CHAR(10),"2012/S 002-0039233 od 11.07.2012.")</f>
        <v>1923-2012-EMV
2012/S 002-0039233 od 11.07.2012.</v>
      </c>
      <c r="E420" s="1" t="s">
        <v>15</v>
      </c>
      <c r="F420" s="1" t="str">
        <f>"149.451,40"</f>
        <v>149.451,40</v>
      </c>
      <c r="G420" s="1" t="str">
        <f>CONCATENATE("28.09.2012.",CHAR(10),"60 dana, računajući od dana uvođenja u posao")</f>
        <v>28.09.2012.
60 dana, računajući od dana uvođenja u posao</v>
      </c>
      <c r="H420" s="1" t="str">
        <f>CONCATENATE("HM-PATRIA D.O.O., ZAGREB",CHAR(10),"KEMIS-TERMOCLEAN D.O.O., ZAGREB")</f>
        <v>HM-PATRIA D.O.O., ZAGREB
KEMIS-TERMOCLEAN D.O.O., ZAGREB</v>
      </c>
      <c r="I420" s="1" t="s">
        <v>237</v>
      </c>
      <c r="J420" s="1" t="str">
        <f>SUBSTITUTE(SUBSTITUTE(SUBSTITUTE("186,549.25",".","-"),",","."),"-",",")</f>
        <v>186.549,25</v>
      </c>
      <c r="K420" s="2"/>
    </row>
    <row r="421" spans="1:11" ht="47.25" x14ac:dyDescent="0.25">
      <c r="A421" s="1" t="str">
        <f>"404/2012"</f>
        <v>404/2012</v>
      </c>
      <c r="B421" s="1" t="s">
        <v>14</v>
      </c>
      <c r="C421" s="1" t="s">
        <v>1779</v>
      </c>
      <c r="D421" s="1" t="str">
        <f>CONCATENATE("1916-2012-EMV",CHAR(10),"2012/S 002-0036215 od 03.07.2012.")</f>
        <v>1916-2012-EMV
2012/S 002-0036215 od 03.07.2012.</v>
      </c>
      <c r="E421" s="1" t="s">
        <v>15</v>
      </c>
      <c r="F421" s="1" t="str">
        <f>"1.022.126,30"</f>
        <v>1.022.126,30</v>
      </c>
      <c r="G421" s="1" t="str">
        <f>CONCATENATE("28.09.2012.",CHAR(10),"60 dana, računajući od dana uvođenja u posao")</f>
        <v>28.09.2012.
60 dana, računajući od dana uvođenja u posao</v>
      </c>
      <c r="H421" s="1" t="str">
        <f>CONCATENATE("''KINDER'' GRADNJA I USLUGE VL. I. KINDER, SESVETE-KRALJEVEC",CHAR(10),"PERVISUS D.O.O., ZAGREB")</f>
        <v>''KINDER'' GRADNJA I USLUGE VL. I. KINDER, SESVETE-KRALJEVEC
PERVISUS D.O.O., ZAGREB</v>
      </c>
      <c r="I421" s="1" t="s">
        <v>222</v>
      </c>
      <c r="J421" s="1" t="str">
        <f>SUBSTITUTE(SUBSTITUTE(SUBSTITUTE("1,277,557.00",".","-"),",","."),"-",",")</f>
        <v>1.277.557,00</v>
      </c>
      <c r="K421" s="2"/>
    </row>
    <row r="422" spans="1:11" ht="47.25" x14ac:dyDescent="0.25">
      <c r="A422" s="1" t="str">
        <f>"405/2012"</f>
        <v>405/2012</v>
      </c>
      <c r="B422" s="1" t="s">
        <v>14</v>
      </c>
      <c r="C422" s="1" t="s">
        <v>1780</v>
      </c>
      <c r="D422" s="1" t="str">
        <f>CONCATENATE("1902-2012-EMV",CHAR(10),"2012/S 002-0040921 od 16.07.2012.")</f>
        <v>1902-2012-EMV
2012/S 002-0040921 od 16.07.2012.</v>
      </c>
      <c r="E422" s="1" t="s">
        <v>15</v>
      </c>
      <c r="F422" s="1" t="str">
        <f>"87.408,46"</f>
        <v>87.408,46</v>
      </c>
      <c r="G422" s="1" t="str">
        <f>CONCATENATE("28.09.2012.",CHAR(10),"30 dana, računajući od dana uvođenja u posao")</f>
        <v>28.09.2012.
30 dana, računajući od dana uvođenja u posao</v>
      </c>
      <c r="H422" s="1" t="str">
        <f>CONCATENATE("SPEKTAR GRADNJA D.O.O., ZAGREB")</f>
        <v>SPEKTAR GRADNJA D.O.O., ZAGREB</v>
      </c>
      <c r="I422" s="1" t="s">
        <v>42</v>
      </c>
      <c r="J422" s="1" t="str">
        <f>SUBSTITUTE(SUBSTITUTE(SUBSTITUTE("109,258.88",".","-"),",","."),"-",",")</f>
        <v>109.258,88</v>
      </c>
      <c r="K422" s="2"/>
    </row>
    <row r="423" spans="1:11" ht="78.75" x14ac:dyDescent="0.25">
      <c r="A423" s="1" t="str">
        <f>"406/2012"</f>
        <v>406/2012</v>
      </c>
      <c r="B423" s="1" t="s">
        <v>14</v>
      </c>
      <c r="C423" s="1" t="s">
        <v>1781</v>
      </c>
      <c r="D423" s="1" t="str">
        <f>CONCATENATE("228-2012-EMV",CHAR(10),"2012/S 002-0041000 od 16.07.2012.")</f>
        <v>228-2012-EMV
2012/S 002-0041000 od 16.07.2012.</v>
      </c>
      <c r="E423" s="1" t="s">
        <v>15</v>
      </c>
      <c r="F423" s="1" t="str">
        <f>"1.568.303,50"</f>
        <v>1.568.303,50</v>
      </c>
      <c r="G423" s="1" t="str">
        <f>CONCATENATE("28.09.2012.",CHAR(10),"4 mjeseca, računajući od dana uvođenja u posao")</f>
        <v>28.09.2012.
4 mjeseca, računajući od dana uvođenja u posao</v>
      </c>
      <c r="H423" s="1" t="str">
        <f>CONCATENATE("HM-PATRIA D.O.O., ZAGREB",CHAR(10),"BEMING D.O.O., ZAGREB",CHAR(10),"TEHNOPLAM D.O.O., ZAGREB",CHAR(10),"GRAĐEVINSKI LABORATORIJ D.O.O., ZAGREB")</f>
        <v>HM-PATRIA D.O.O., ZAGREB
BEMING D.O.O., ZAGREB
TEHNOPLAM D.O.O., ZAGREB
GRAĐEVINSKI LABORATORIJ D.O.O., ZAGREB</v>
      </c>
      <c r="I423" s="1" t="s">
        <v>238</v>
      </c>
      <c r="J423" s="1" t="str">
        <f>SUBSTITUTE(SUBSTITUTE(SUBSTITUTE("1,959,780.11",".","-"),",","."),"-",",")</f>
        <v>1.959.780,11</v>
      </c>
      <c r="K423" s="2"/>
    </row>
    <row r="424" spans="1:11" ht="47.25" x14ac:dyDescent="0.25">
      <c r="A424" s="1" t="str">
        <f>"407/2012"</f>
        <v>407/2012</v>
      </c>
      <c r="B424" s="1" t="s">
        <v>14</v>
      </c>
      <c r="C424" s="1" t="s">
        <v>1782</v>
      </c>
      <c r="D424" s="1" t="str">
        <f>CONCATENATE("415-2012-EMV",CHAR(10),"2012/S 002-0031751 od 18.06.2012.")</f>
        <v>415-2012-EMV
2012/S 002-0031751 od 18.06.2012.</v>
      </c>
      <c r="E424" s="1" t="s">
        <v>15</v>
      </c>
      <c r="F424" s="1" t="str">
        <f>"188.519,90"</f>
        <v>188.519,90</v>
      </c>
      <c r="G424" s="1" t="str">
        <f>CONCATENATE("28.09.2012.",CHAR(10),"50 dana, računajući od dana uvođenja u posao")</f>
        <v>28.09.2012.
50 dana, računajući od dana uvođenja u posao</v>
      </c>
      <c r="H424" s="1" t="str">
        <f>CONCATENATE("GRADIMONT D.O.O., ZAGREB")</f>
        <v>GRADIMONT D.O.O., ZAGREB</v>
      </c>
      <c r="I424" s="1" t="s">
        <v>80</v>
      </c>
      <c r="J424" s="1" t="str">
        <f>SUBSTITUTE(SUBSTITUTE(SUBSTITUTE("235,185.50",".","-"),",","."),"-",",")</f>
        <v>235.185,50</v>
      </c>
      <c r="K424" s="2"/>
    </row>
    <row r="425" spans="1:11" ht="63" x14ac:dyDescent="0.25">
      <c r="A425" s="1" t="str">
        <f>"408/2012"</f>
        <v>408/2012</v>
      </c>
      <c r="B425" s="1" t="s">
        <v>14</v>
      </c>
      <c r="C425" s="1" t="s">
        <v>1783</v>
      </c>
      <c r="D425" s="1" t="str">
        <f>CONCATENATE("1924-2012-EMV",CHAR(10),"2012/S 002-0037168 od 05.07.2012.")</f>
        <v>1924-2012-EMV
2012/S 002-0037168 od 05.07.2012.</v>
      </c>
      <c r="E425" s="1" t="s">
        <v>15</v>
      </c>
      <c r="F425" s="1" t="str">
        <f>"75.967,00"</f>
        <v>75.967,00</v>
      </c>
      <c r="G425" s="1" t="str">
        <f>CONCATENATE("28.09.2012.",CHAR(10),"u roku od 30 dana, računajući od dana uvođenja u posao")</f>
        <v>28.09.2012.
u roku od 30 dana, računajući od dana uvođenja u posao</v>
      </c>
      <c r="H425" s="1" t="str">
        <f>CONCATENATE("MANZIN-MONTAŽA D.O.O., ZAGREB")</f>
        <v>MANZIN-MONTAŽA D.O.O., ZAGREB</v>
      </c>
      <c r="I425" s="1" t="s">
        <v>168</v>
      </c>
      <c r="J425" s="1" t="str">
        <f>SUBSTITUTE(SUBSTITUTE(SUBSTITUTE("94,771.25",".","-"),",","."),"-",",")</f>
        <v>94.771,25</v>
      </c>
      <c r="K425" s="2"/>
    </row>
    <row r="426" spans="1:11" ht="63" x14ac:dyDescent="0.25">
      <c r="A426" s="1" t="str">
        <f>"409/2012"</f>
        <v>409/2012</v>
      </c>
      <c r="B426" s="1" t="s">
        <v>14</v>
      </c>
      <c r="C426" s="1" t="s">
        <v>1784</v>
      </c>
      <c r="D426" s="1" t="str">
        <f>CONCATENATE("1083-2012-EMV",CHAR(10),"2012/S 002-0039359 od 11.07.2012.")</f>
        <v>1083-2012-EMV
2012/S 002-0039359 od 11.07.2012.</v>
      </c>
      <c r="E426" s="1" t="s">
        <v>15</v>
      </c>
      <c r="F426" s="1" t="str">
        <f>"99.654,00"</f>
        <v>99.654,00</v>
      </c>
      <c r="G426" s="1" t="str">
        <f>CONCATENATE("28.09.2012.",CHAR(10),"tijekom 12 mjeseci, računajući od dana obostranog potpisa Ugovora")</f>
        <v>28.09.2012.
tijekom 12 mjeseci, računajući od dana obostranog potpisa Ugovora</v>
      </c>
      <c r="H426" s="1" t="str">
        <f>CONCATENATE("THYSSENKRUPP DIZALA D.O.O., ZAGREB")</f>
        <v>THYSSENKRUPP DIZALA D.O.O., ZAGREB</v>
      </c>
      <c r="I426" s="1" t="s">
        <v>239</v>
      </c>
      <c r="J426" s="1" t="str">
        <f>SUBSTITUTE(SUBSTITUTE(SUBSTITUTE("92,497.90",".","-"),",","."),"-",",")</f>
        <v>92.497,90</v>
      </c>
      <c r="K426" s="2"/>
    </row>
    <row r="427" spans="1:11" ht="47.25" x14ac:dyDescent="0.25">
      <c r="A427" s="1" t="str">
        <f>"410/2012"</f>
        <v>410/2012</v>
      </c>
      <c r="B427" s="1" t="s">
        <v>14</v>
      </c>
      <c r="C427" s="1" t="s">
        <v>1785</v>
      </c>
      <c r="D427" s="1" t="str">
        <f>CONCATENATE("830-2012-EMV",CHAR(10),"2012/S 002-0015913 od 03.05.2012.")</f>
        <v>830-2012-EMV
2012/S 002-0015913 od 03.05.2012.</v>
      </c>
      <c r="E427" s="1" t="s">
        <v>15</v>
      </c>
      <c r="F427" s="1" t="str">
        <f>"206.837,50"</f>
        <v>206.837,50</v>
      </c>
      <c r="G427" s="1" t="str">
        <f>CONCATENATE("28.09.2012.",CHAR(10),"u roku od 45 dana računajući od dana uvođenja u posao")</f>
        <v>28.09.2012.
u roku od 45 dana računajući od dana uvođenja u posao</v>
      </c>
      <c r="H427" s="1" t="str">
        <f>CONCATENATE("GEORAD D.O.O., ZAGREB",CHAR(10),"GEODIST D.O.O., ZAGREB")</f>
        <v>GEORAD D.O.O., ZAGREB
GEODIST D.O.O., ZAGREB</v>
      </c>
      <c r="I427" s="1" t="s">
        <v>135</v>
      </c>
      <c r="J427" s="1" t="str">
        <f>SUBSTITUTE(SUBSTITUTE(SUBSTITUTE("258,110.94",".","-"),",","."),"-",",")</f>
        <v>258.110,94</v>
      </c>
      <c r="K427" s="2"/>
    </row>
    <row r="428" spans="1:11" ht="63" x14ac:dyDescent="0.25">
      <c r="A428" s="1" t="str">
        <f>"411/2012"</f>
        <v>411/2012</v>
      </c>
      <c r="B428" s="1" t="s">
        <v>14</v>
      </c>
      <c r="C428" s="1" t="s">
        <v>1786</v>
      </c>
      <c r="D428" s="1" t="str">
        <f>CONCATENATE("1625-2012-EMV",CHAR(10),"2012/S 002-0038522 od 09.07.2012.")</f>
        <v>1625-2012-EMV
2012/S 002-0038522 od 09.07.2012.</v>
      </c>
      <c r="E428" s="1" t="s">
        <v>15</v>
      </c>
      <c r="F428" s="1" t="str">
        <f>"224.114,00"</f>
        <v>224.114,00</v>
      </c>
      <c r="G428" s="1" t="str">
        <f>CONCATENATE("28.09.2012.",CHAR(10),"tijekom 12 mjeseci računajući od dana obostranog potpisa Ugovora")</f>
        <v>28.09.2012.
tijekom 12 mjeseci računajući od dana obostranog potpisa Ugovora</v>
      </c>
      <c r="H428" s="1" t="str">
        <f>CONCATENATE("ENERGETIKA-SERVIS D.O.O., ZAGREB")</f>
        <v>ENERGETIKA-SERVIS D.O.O., ZAGREB</v>
      </c>
      <c r="I428" s="1" t="s">
        <v>240</v>
      </c>
      <c r="J428" s="1" t="str">
        <f>SUBSTITUTE(SUBSTITUTE(SUBSTITUTE("280,142.50",".","-"),",","."),"-",",")</f>
        <v>280.142,50</v>
      </c>
      <c r="K428" s="2"/>
    </row>
    <row r="429" spans="1:11" ht="220.5" x14ac:dyDescent="0.25">
      <c r="A429" s="1" t="str">
        <f>"412/2012"</f>
        <v>412/2012</v>
      </c>
      <c r="B429" s="1" t="s">
        <v>14</v>
      </c>
      <c r="C429" s="1" t="s">
        <v>1787</v>
      </c>
      <c r="D429" s="1" t="str">
        <f>CONCATENATE("2695-2012-EMV",CHAR(10),"2012/S 002-0042805 od 20.07.2012.")</f>
        <v>2695-2012-EMV
2012/S 002-0042805 od 20.07.2012.</v>
      </c>
      <c r="E429" s="1" t="s">
        <v>15</v>
      </c>
      <c r="F429" s="1" t="str">
        <f>"582.562,50"</f>
        <v>582.562,50</v>
      </c>
      <c r="G429" s="1" t="str">
        <f>CONCATENATE("01.10.2012.",CHAR(10),"tijekom 2012., od dana obostranog potpisa ugovora do kraja 2012.")</f>
        <v>01.10.2012.
tijekom 2012., od dana obostranog potpisa ugovora do kraja 2012.</v>
      </c>
      <c r="H429" s="1" t="str">
        <f>CONCATENATE("ING EKSPERT D.O.O., ZAGREB")</f>
        <v>ING EKSPERT D.O.O., ZAGREB</v>
      </c>
      <c r="I429" s="2"/>
      <c r="J429" s="1"/>
      <c r="K429" s="2"/>
    </row>
    <row r="430" spans="1:11" ht="141.75" x14ac:dyDescent="0.25">
      <c r="A430" s="1" t="str">
        <f>"413/2012"</f>
        <v>413/2012</v>
      </c>
      <c r="B430" s="1" t="s">
        <v>14</v>
      </c>
      <c r="C430" s="1" t="s">
        <v>1788</v>
      </c>
      <c r="D430" s="1" t="str">
        <f>CONCATENATE("2695-2012-EMV",CHAR(10),"2012/S 002-0042805 od 20.07.2012.")</f>
        <v>2695-2012-EMV
2012/S 002-0042805 od 20.07.2012.</v>
      </c>
      <c r="E430" s="1" t="s">
        <v>15</v>
      </c>
      <c r="F430" s="1" t="str">
        <f>"249.250,00"</f>
        <v>249.250,00</v>
      </c>
      <c r="G430" s="1" t="str">
        <f>CONCATENATE("01.10.2012.",CHAR(10),"tijekom 2012, odnosno od dana obostranog potpisa Ugovora pa do kraja 2012.")</f>
        <v>01.10.2012.
tijekom 2012, odnosno od dana obostranog potpisa Ugovora pa do kraja 2012.</v>
      </c>
      <c r="H430" s="1" t="str">
        <f>CONCATENATE("ING EKSPERT D.O.O., ZAGREB")</f>
        <v>ING EKSPERT D.O.O., ZAGREB</v>
      </c>
      <c r="I430" s="2"/>
      <c r="J430" s="1"/>
      <c r="K430" s="2"/>
    </row>
    <row r="431" spans="1:11" ht="47.25" x14ac:dyDescent="0.25">
      <c r="A431" s="1" t="str">
        <f>"414/2012"</f>
        <v>414/2012</v>
      </c>
      <c r="B431" s="1" t="s">
        <v>14</v>
      </c>
      <c r="C431" s="1" t="s">
        <v>1789</v>
      </c>
      <c r="D431" s="1" t="str">
        <f>CONCATENATE("113-2012-EMV",CHAR(10),"2012/S 002-0031449 od 18.06.2012.")</f>
        <v>113-2012-EMV
2012/S 002-0031449 od 18.06.2012.</v>
      </c>
      <c r="E431" s="1" t="s">
        <v>15</v>
      </c>
      <c r="F431" s="1" t="str">
        <f>"336.000,00"</f>
        <v>336.000,00</v>
      </c>
      <c r="G431" s="1" t="str">
        <f>CONCATENATE("10.09.2012.",CHAR(10),"tijekom 6 mjeseci od dana obostranog potpisa Ugovora")</f>
        <v>10.09.2012.
tijekom 6 mjeseci od dana obostranog potpisa Ugovora</v>
      </c>
      <c r="H431" s="1" t="str">
        <f>CONCATENATE("TISKARA ZAGREB D.O.O., ZAGREB")</f>
        <v>TISKARA ZAGREB D.O.O., ZAGREB</v>
      </c>
      <c r="I431" s="1" t="s">
        <v>241</v>
      </c>
      <c r="J431" s="1" t="str">
        <f>SUBSTITUTE(SUBSTITUTE(SUBSTITUTE("385,000.00",".","-"),",","."),"-",",")</f>
        <v>385.000,00</v>
      </c>
      <c r="K431" s="2"/>
    </row>
    <row r="432" spans="1:11" ht="47.25" x14ac:dyDescent="0.25">
      <c r="A432" s="1" t="str">
        <f>"415/2012"</f>
        <v>415/2012</v>
      </c>
      <c r="B432" s="1" t="s">
        <v>14</v>
      </c>
      <c r="C432" s="1" t="s">
        <v>1790</v>
      </c>
      <c r="D432" s="1" t="str">
        <f>CONCATENATE("1838-2012-EMV",CHAR(10),"2012/S 002-0046951 od 01.08.2012.")</f>
        <v>1838-2012-EMV
2012/S 002-0046951 od 01.08.2012.</v>
      </c>
      <c r="E432" s="1" t="s">
        <v>15</v>
      </c>
      <c r="F432" s="1" t="str">
        <f>"402.299,50"</f>
        <v>402.299,50</v>
      </c>
      <c r="G432" s="1" t="str">
        <f>CONCATENATE("02.10.2012.",CHAR(10),"2 mjeseca od dana uvođenja u posao")</f>
        <v>02.10.2012.
2 mjeseca od dana uvođenja u posao</v>
      </c>
      <c r="H432" s="1" t="str">
        <f>CONCATENATE("HM-PATRIA D.O.O., ZAGREB")</f>
        <v>HM-PATRIA D.O.O., ZAGREB</v>
      </c>
      <c r="I432" s="1" t="s">
        <v>190</v>
      </c>
      <c r="J432" s="1" t="str">
        <f>SUBSTITUTE(SUBSTITUTE(SUBSTITUTE("500,673.07",".","-"),",","."),"-",",")</f>
        <v>500.673,07</v>
      </c>
      <c r="K432" s="2"/>
    </row>
    <row r="433" spans="1:11" ht="63" x14ac:dyDescent="0.25">
      <c r="A433" s="1" t="str">
        <f>"416/2012"</f>
        <v>416/2012</v>
      </c>
      <c r="B433" s="1" t="s">
        <v>14</v>
      </c>
      <c r="C433" s="1" t="s">
        <v>1791</v>
      </c>
      <c r="D433" s="1" t="str">
        <f>CONCATENATE("2695-2012-EMV",CHAR(10),"2012/S 002-0042805 od 20.07.2012.")</f>
        <v>2695-2012-EMV
2012/S 002-0042805 od 20.07.2012.</v>
      </c>
      <c r="E433" s="1" t="s">
        <v>15</v>
      </c>
      <c r="F433" s="1" t="str">
        <f>"89.400,00"</f>
        <v>89.400,00</v>
      </c>
      <c r="G433" s="1" t="str">
        <f>CONCATENATE("02.10.2012.",CHAR(10),"tijekom 2012., odnosno od dana obostranog potpisa Ugovora do kraja 2012.")</f>
        <v>02.10.2012.
tijekom 2012., odnosno od dana obostranog potpisa Ugovora do kraja 2012.</v>
      </c>
      <c r="H433" s="1" t="str">
        <f>CONCATENATE("IVNE GRAĐEVINA D.O.O., ZAGREB")</f>
        <v>IVNE GRAĐEVINA D.O.O., ZAGREB</v>
      </c>
      <c r="I433" s="1" t="s">
        <v>242</v>
      </c>
      <c r="J433" s="1" t="str">
        <f>SUBSTITUTE(SUBSTITUTE(SUBSTITUTE("111,750.50",".","-"),",","."),"-",",")</f>
        <v>111.750,50</v>
      </c>
      <c r="K433" s="2"/>
    </row>
    <row r="434" spans="1:11" ht="47.25" x14ac:dyDescent="0.25">
      <c r="A434" s="1" t="str">
        <f>"417/2012"</f>
        <v>417/2012</v>
      </c>
      <c r="B434" s="1" t="s">
        <v>14</v>
      </c>
      <c r="C434" s="1" t="s">
        <v>1792</v>
      </c>
      <c r="D434" s="1" t="str">
        <f>CONCATENATE("22-2012-EMV",CHAR(10),"2012/S 002-0043440 od 23.07.2012.")</f>
        <v>22-2012-EMV
2012/S 002-0043440 od 23.07.2012.</v>
      </c>
      <c r="E434" s="1" t="s">
        <v>15</v>
      </c>
      <c r="F434" s="1" t="str">
        <f>"245.530,00"</f>
        <v>245.530,00</v>
      </c>
      <c r="G434" s="1" t="str">
        <f>CONCATENATE("02.10.2012.",CHAR(10),"1 godina, računajući od dana uvođenja u posao")</f>
        <v>02.10.2012.
1 godina, računajući od dana uvođenja u posao</v>
      </c>
      <c r="H434" s="1" t="str">
        <f>CONCATENATE("''KINDER'' GRADNJA I USLUGE VL. I. KINDER, SESVETE-KRALJEVEC",CHAR(10),"PERVISUS D.O.O., ZAGREB")</f>
        <v>''KINDER'' GRADNJA I USLUGE VL. I. KINDER, SESVETE-KRALJEVEC
PERVISUS D.O.O., ZAGREB</v>
      </c>
      <c r="I434" s="1" t="s">
        <v>243</v>
      </c>
      <c r="J434" s="1" t="str">
        <f>SUBSTITUTE(SUBSTITUTE(SUBSTITUTE("306,466.50",".","-"),",","."),"-",",")</f>
        <v>306.466,50</v>
      </c>
      <c r="K434" s="2"/>
    </row>
    <row r="435" spans="1:11" ht="47.25" x14ac:dyDescent="0.25">
      <c r="A435" s="1" t="str">
        <f>"418/2012"</f>
        <v>418/2012</v>
      </c>
      <c r="B435" s="1" t="s">
        <v>14</v>
      </c>
      <c r="C435" s="1" t="s">
        <v>1793</v>
      </c>
      <c r="D435" s="1" t="str">
        <f>CONCATENATE("1904-2012-EMV",CHAR(10),"2012/S 002-0046901 od 01.08.2012.")</f>
        <v>1904-2012-EMV
2012/S 002-0046901 od 01.08.2012.</v>
      </c>
      <c r="E435" s="1" t="s">
        <v>15</v>
      </c>
      <c r="F435" s="1" t="str">
        <f>"223.376,92"</f>
        <v>223.376,92</v>
      </c>
      <c r="G435" s="1" t="str">
        <f>CONCATENATE("02.10.2012.",CHAR(10),"2 mjeseca, računajući od dana uvođenja u posao")</f>
        <v>02.10.2012.
2 mjeseca, računajući od dana uvođenja u posao</v>
      </c>
      <c r="H435" s="1" t="str">
        <f>CONCATENATE("PUTAK GRADNJA D.O.O., ZAGREB")</f>
        <v>PUTAK GRADNJA D.O.O., ZAGREB</v>
      </c>
      <c r="I435" s="1" t="s">
        <v>23</v>
      </c>
      <c r="J435" s="1" t="str">
        <f>SUBSTITUTE(SUBSTITUTE(SUBSTITUTE("279,060.29",".","-"),",","."),"-",",")</f>
        <v>279.060,29</v>
      </c>
      <c r="K435" s="2"/>
    </row>
    <row r="436" spans="1:11" ht="47.25" x14ac:dyDescent="0.25">
      <c r="A436" s="1" t="str">
        <f>"419/2012"</f>
        <v>419/2012</v>
      </c>
      <c r="B436" s="1" t="s">
        <v>14</v>
      </c>
      <c r="C436" s="1" t="s">
        <v>1794</v>
      </c>
      <c r="D436" s="1" t="str">
        <f>CONCATENATE("133-2012-EMV",CHAR(10),"2012/S 002-0039892 od 12.07.2012.")</f>
        <v>133-2012-EMV
2012/S 002-0039892 od 12.07.2012.</v>
      </c>
      <c r="E436" s="1" t="s">
        <v>15</v>
      </c>
      <c r="F436" s="1" t="str">
        <f>"157.530,20"</f>
        <v>157.530,20</v>
      </c>
      <c r="G436" s="1" t="str">
        <f>CONCATENATE("02.10.2012.",CHAR(10),"15 dana, računajući od dana obostranog potpisa Ugovora")</f>
        <v>02.10.2012.
15 dana, računajući od dana obostranog potpisa Ugovora</v>
      </c>
      <c r="H436" s="1" t="str">
        <f>CONCATENATE("COMBIS D.O.O., ZAGREB")</f>
        <v>COMBIS D.O.O., ZAGREB</v>
      </c>
      <c r="I436" s="1" t="s">
        <v>244</v>
      </c>
      <c r="J436" s="1" t="str">
        <f>SUBSTITUTE(SUBSTITUTE(SUBSTITUTE("196,912.75",".","-"),",","."),"-",",")</f>
        <v>196.912,75</v>
      </c>
      <c r="K436" s="2"/>
    </row>
    <row r="437" spans="1:11" ht="47.25" x14ac:dyDescent="0.25">
      <c r="A437" s="1" t="str">
        <f>"420/2012"</f>
        <v>420/2012</v>
      </c>
      <c r="B437" s="1" t="s">
        <v>14</v>
      </c>
      <c r="C437" s="1" t="s">
        <v>1795</v>
      </c>
      <c r="D437" s="1" t="str">
        <f>CONCATENATE("447-2012-EMV",CHAR(10),"2012/S-002-0035367 od 29.06.2012.")</f>
        <v>447-2012-EMV
2012/S-002-0035367 od 29.06.2012.</v>
      </c>
      <c r="E437" s="1" t="s">
        <v>15</v>
      </c>
      <c r="F437" s="1" t="str">
        <f>"172.353,00"</f>
        <v>172.353,00</v>
      </c>
      <c r="G437" s="1" t="str">
        <f>CONCATENATE("03.10.2012.",CHAR(10),"45 dana od dana obostranog potpisa Ugovora")</f>
        <v>03.10.2012.
45 dana od dana obostranog potpisa Ugovora</v>
      </c>
      <c r="H437" s="1" t="str">
        <f>CONCATENATE("DIDACTA D.O.O., SLAVONSKI BROD")</f>
        <v>DIDACTA D.O.O., SLAVONSKI BROD</v>
      </c>
      <c r="I437" s="1" t="s">
        <v>231</v>
      </c>
      <c r="J437" s="1" t="str">
        <f>SUBSTITUTE(SUBSTITUTE(SUBSTITUTE("215,441.25",".","-"),",","."),"-",",")</f>
        <v>215.441,25</v>
      </c>
      <c r="K437" s="2"/>
    </row>
    <row r="438" spans="1:11" ht="47.25" x14ac:dyDescent="0.25">
      <c r="A438" s="1" t="str">
        <f>"421/2012"</f>
        <v>421/2012</v>
      </c>
      <c r="B438" s="1" t="s">
        <v>14</v>
      </c>
      <c r="C438" s="1" t="s">
        <v>1796</v>
      </c>
      <c r="D438" s="1" t="str">
        <f>CONCATENATE("723-2012-EMV",CHAR(10),"2012/S 002-0017471 od 08.05.2012.")</f>
        <v>723-2012-EMV
2012/S 002-0017471 od 08.05.2012.</v>
      </c>
      <c r="E438" s="1" t="s">
        <v>15</v>
      </c>
      <c r="F438" s="1" t="str">
        <f>"9.795.299,84"</f>
        <v>9.795.299,84</v>
      </c>
      <c r="G438" s="1" t="str">
        <f>CONCATENATE("03.10.2012.",CHAR(10),"12 mjeseci, računajući od dana uvođenja u posao")</f>
        <v>03.10.2012.
12 mjeseci, računajući od dana uvođenja u posao</v>
      </c>
      <c r="H438" s="1" t="str">
        <f>CONCATENATE("MEŠIĆ COM D.O.O., ZAGREB")</f>
        <v>MEŠIĆ COM D.O.O., ZAGREB</v>
      </c>
      <c r="I438" s="2"/>
      <c r="J438" s="1"/>
      <c r="K438" s="2"/>
    </row>
    <row r="439" spans="1:11" ht="126" x14ac:dyDescent="0.25">
      <c r="A439" s="1" t="str">
        <f>"422/2012"</f>
        <v>422/2012</v>
      </c>
      <c r="B439" s="1" t="s">
        <v>26</v>
      </c>
      <c r="C439" s="1" t="s">
        <v>245</v>
      </c>
      <c r="D439" s="1" t="str">
        <f>"EV-814/2011"</f>
        <v>EV-814/2011</v>
      </c>
      <c r="E439" s="1" t="s">
        <v>139</v>
      </c>
      <c r="F439" s="1" t="str">
        <f>"321.049,33"</f>
        <v>321.049,33</v>
      </c>
      <c r="G439" s="1" t="str">
        <f>CONCATENATE("03.10.2012.",CHAR(10),"tijekom 12 mjeseci")</f>
        <v>03.10.2012.
tijekom 12 mjeseci</v>
      </c>
      <c r="H439" s="1" t="str">
        <f>CONCATENATE("ZAGREBAČKE PEKARNE KLARA D.D., ZAGREB")</f>
        <v>ZAGREBAČKE PEKARNE KLARA D.D., ZAGREB</v>
      </c>
      <c r="I439" s="1" t="s">
        <v>246</v>
      </c>
      <c r="J439" s="1" t="str">
        <f>CONCATENATE(SUBSTITUTE(SUBSTITUTE(SUBSTITUTE("380,005.45",".","-"),",","."),"-",","),CHAR(10),"konačno plaćeni iznos veći je od ugovorenog zbog povećanog broja upisane djece u odnosu na planirani broj djece te uvođenja stope PDV-a od 5% na kruh i 25% na krušne prozivode od 01.01.2013.")</f>
        <v>380.005,45
konačno plaćeni iznos veći je od ugovorenog zbog povećanog broja upisane djece u odnosu na planirani broj djece te uvođenja stope PDV-a od 5% na kruh i 25% na krušne prozivode od 01.01.2013.</v>
      </c>
      <c r="K439" s="2"/>
    </row>
    <row r="440" spans="1:11" ht="126" x14ac:dyDescent="0.25">
      <c r="A440" s="1" t="str">
        <f>"423/2012"</f>
        <v>423/2012</v>
      </c>
      <c r="B440" s="1" t="s">
        <v>26</v>
      </c>
      <c r="C440" s="1" t="s">
        <v>247</v>
      </c>
      <c r="D440" s="1" t="str">
        <f>"EV-814/2011"</f>
        <v>EV-814/2011</v>
      </c>
      <c r="E440" s="1" t="s">
        <v>139</v>
      </c>
      <c r="F440" s="1" t="str">
        <f>"413.001,67"</f>
        <v>413.001,67</v>
      </c>
      <c r="G440" s="1" t="str">
        <f>CONCATENATE("03.10.2012.",CHAR(10),"tijekom 12 mjeseci")</f>
        <v>03.10.2012.
tijekom 12 mjeseci</v>
      </c>
      <c r="H440" s="1" t="str">
        <f>CONCATENATE("ZAGREBAČKE PEKARNE KLARA D.D., ZAGREB")</f>
        <v>ZAGREBAČKE PEKARNE KLARA D.D., ZAGREB</v>
      </c>
      <c r="I440" s="1" t="s">
        <v>248</v>
      </c>
      <c r="J440" s="1" t="str">
        <f>CONCATENATE(SUBSTITUTE(SUBSTITUTE(SUBSTITUTE("461,128.73",".","-"),",","."),"-",","),CHAR(10),"konačno plaćeni iznos veći je od ugovorenog zbog povećanog broja upisane djece u odnosu na planirani broj djece te uvođenja stope PDV-a od 5% na kruh i 25% na krušne prozivode od 01.01.2013.")</f>
        <v>461.128,73
konačno plaćeni iznos veći je od ugovorenog zbog povećanog broja upisane djece u odnosu na planirani broj djece te uvođenja stope PDV-a od 5% na kruh i 25% na krušne prozivode od 01.01.2013.</v>
      </c>
      <c r="K440" s="2"/>
    </row>
    <row r="441" spans="1:11" ht="126" x14ac:dyDescent="0.25">
      <c r="A441" s="1" t="str">
        <f>"424/2012"</f>
        <v>424/2012</v>
      </c>
      <c r="B441" s="1" t="s">
        <v>26</v>
      </c>
      <c r="C441" s="1" t="s">
        <v>249</v>
      </c>
      <c r="D441" s="1" t="str">
        <f>"EV-814/2011"</f>
        <v>EV-814/2011</v>
      </c>
      <c r="E441" s="1" t="s">
        <v>139</v>
      </c>
      <c r="F441" s="1" t="str">
        <f>"241.919,59"</f>
        <v>241.919,59</v>
      </c>
      <c r="G441" s="1" t="str">
        <f>CONCATENATE("03.10.2012.",CHAR(10),"tijekom 12 mjeseci")</f>
        <v>03.10.2012.
tijekom 12 mjeseci</v>
      </c>
      <c r="H441" s="1" t="str">
        <f>CONCATENATE("ZAGREBAČKE PEKARNE KLARA D.D., ZAGREB")</f>
        <v>ZAGREBAČKE PEKARNE KLARA D.D., ZAGREB</v>
      </c>
      <c r="I441" s="1" t="s">
        <v>246</v>
      </c>
      <c r="J441" s="1" t="str">
        <f>CONCATENATE(SUBSTITUTE(SUBSTITUTE(SUBSTITUTE("301,066.16",".","-"),",","."),"-",","),CHAR(10),"konačno plaćeni iznos veći je od ugovorenog zbog povećanog broja upisane djece u odnosu na planirani broj djece te uvođenja stope PDV-a od 5% na kruh i 25% na krušne prozivode od 01.01.2013.")</f>
        <v>301.066,16
konačno plaćeni iznos veći je od ugovorenog zbog povećanog broja upisane djece u odnosu na planirani broj djece te uvođenja stope PDV-a od 5% na kruh i 25% na krušne prozivode od 01.01.2013.</v>
      </c>
      <c r="K441" s="2"/>
    </row>
    <row r="442" spans="1:11" ht="94.5" x14ac:dyDescent="0.25">
      <c r="A442" s="1" t="str">
        <f>"425/2012"</f>
        <v>425/2012</v>
      </c>
      <c r="B442" s="1" t="s">
        <v>26</v>
      </c>
      <c r="C442" s="1" t="s">
        <v>250</v>
      </c>
      <c r="D442" s="1" t="str">
        <f>"EV-814/2011"</f>
        <v>EV-814/2011</v>
      </c>
      <c r="E442" s="1" t="s">
        <v>139</v>
      </c>
      <c r="F442" s="1" t="str">
        <f>"370.075,95"</f>
        <v>370.075,95</v>
      </c>
      <c r="G442" s="1" t="str">
        <f>CONCATENATE("03.10.2012.",CHAR(10),"tijekom 12 mjeseci")</f>
        <v>03.10.2012.
tijekom 12 mjeseci</v>
      </c>
      <c r="H442" s="1" t="str">
        <f>CONCATENATE("ZAGREBAČKE PEKARNE KLARA D.D., ZAGREB")</f>
        <v>ZAGREBAČKE PEKARNE KLARA D.D., ZAGREB</v>
      </c>
      <c r="I442" s="1" t="s">
        <v>248</v>
      </c>
      <c r="J442" s="1" t="str">
        <f>SUBSTITUTE(SUBSTITUTE(SUBSTITUTE("356,517.40",".","-"),",","."),"-",",")</f>
        <v>356.517,40</v>
      </c>
      <c r="K442" s="2"/>
    </row>
    <row r="443" spans="1:11" ht="47.25" x14ac:dyDescent="0.25">
      <c r="A443" s="1" t="str">
        <f>"426/2012"</f>
        <v>426/2012</v>
      </c>
      <c r="B443" s="1" t="s">
        <v>14</v>
      </c>
      <c r="C443" s="1" t="s">
        <v>1797</v>
      </c>
      <c r="D443" s="1" t="str">
        <f>CONCATENATE("EV-28-012/2011",CHAR(10),"N-02-V-112681-290311 od 30.03.2011.")</f>
        <v>EV-28-012/2011
N-02-V-112681-290311 od 30.03.2011.</v>
      </c>
      <c r="E443" s="1" t="s">
        <v>15</v>
      </c>
      <c r="F443" s="1" t="str">
        <f>"906.964,30"</f>
        <v>906.964,30</v>
      </c>
      <c r="G443" s="1" t="str">
        <f>CONCATENATE("04.10.2012.",CHAR(10),"u roku od 360 dana računajući od dana uvođenja u posao")</f>
        <v>04.10.2012.
u roku od 360 dana računajući od dana uvođenja u posao</v>
      </c>
      <c r="H443" s="1" t="str">
        <f>CONCATENATE("GRADNJAPROJEKT- ZAGREB D.O.O., ZAGREB")</f>
        <v>GRADNJAPROJEKT- ZAGREB D.O.O., ZAGREB</v>
      </c>
      <c r="I443" s="1" t="s">
        <v>251</v>
      </c>
      <c r="J443" s="1" t="str">
        <f>SUBSTITUTE(SUBSTITUTE(SUBSTITUTE("787,118.90",".","-"),",","."),"-",",")</f>
        <v>787.118,90</v>
      </c>
      <c r="K443" s="2"/>
    </row>
    <row r="444" spans="1:11" ht="47.25" x14ac:dyDescent="0.25">
      <c r="A444" s="1" t="str">
        <f>"427/2012"</f>
        <v>427/2012</v>
      </c>
      <c r="B444" s="1" t="s">
        <v>14</v>
      </c>
      <c r="C444" s="1" t="s">
        <v>1798</v>
      </c>
      <c r="D444" s="1" t="str">
        <f>CONCATENATE("1987-2012-EMV",CHAR(10),"2012/S 002-0040778 od 16.07.2012.")</f>
        <v>1987-2012-EMV
2012/S 002-0040778 od 16.07.2012.</v>
      </c>
      <c r="E444" s="1" t="s">
        <v>15</v>
      </c>
      <c r="F444" s="1" t="str">
        <f>"50.044,00"</f>
        <v>50.044,00</v>
      </c>
      <c r="G444" s="1" t="str">
        <f>CONCATENATE("04.10.2012.",CHAR(10),"30 dana od dana uvođenja u posao")</f>
        <v>04.10.2012.
30 dana od dana uvođenja u posao</v>
      </c>
      <c r="H444" s="1" t="str">
        <f>CONCATENATE("EURAL D.O.O., SVETA NEDJELJA")</f>
        <v>EURAL D.O.O., SVETA NEDJELJA</v>
      </c>
      <c r="I444" s="1" t="s">
        <v>188</v>
      </c>
      <c r="J444" s="1" t="str">
        <f>SUBSTITUTE(SUBSTITUTE(SUBSTITUTE("62,514.50",".","-"),",","."),"-",",")</f>
        <v>62.514,50</v>
      </c>
      <c r="K444" s="2"/>
    </row>
    <row r="445" spans="1:11" ht="47.25" x14ac:dyDescent="0.25">
      <c r="A445" s="1" t="str">
        <f>"428/2012"</f>
        <v>428/2012</v>
      </c>
      <c r="B445" s="1" t="s">
        <v>14</v>
      </c>
      <c r="C445" s="1" t="s">
        <v>1799</v>
      </c>
      <c r="D445" s="1" t="str">
        <f>CONCATENATE("1931-2012-EMV",CHAR(10),"2012/S 002-0027281 od 05.06.2012.")</f>
        <v>1931-2012-EMV
2012/S 002-0027281 od 05.06.2012.</v>
      </c>
      <c r="E445" s="1" t="s">
        <v>15</v>
      </c>
      <c r="F445" s="1" t="str">
        <f>"234.854,99"</f>
        <v>234.854,99</v>
      </c>
      <c r="G445" s="1" t="str">
        <f>CONCATENATE("05.10.2012.",CHAR(10),"tijekom 2012., sukladno izvođenju radova")</f>
        <v>05.10.2012.
tijekom 2012., sukladno izvođenju radova</v>
      </c>
      <c r="H445" s="1" t="str">
        <f>CONCATENATE("CAPITAL ING D.O.O., ZAGREB",CHAR(10),"MHM-PROJEKT D.O.O., ZAGREB",CHAR(10),"ELARH PROJEKT D.O.O., ZAGREB")</f>
        <v>CAPITAL ING D.O.O., ZAGREB
MHM-PROJEKT D.O.O., ZAGREB
ELARH PROJEKT D.O.O., ZAGREB</v>
      </c>
      <c r="I445" s="1" t="s">
        <v>252</v>
      </c>
      <c r="J445" s="1" t="str">
        <f>SUBSTITUTE(SUBSTITUTE(SUBSTITUTE("293,568.74",".","-"),",","."),"-",",")</f>
        <v>293.568,74</v>
      </c>
      <c r="K445" s="2"/>
    </row>
    <row r="446" spans="1:11" ht="47.25" x14ac:dyDescent="0.25">
      <c r="A446" s="1" t="str">
        <f>"R-4/2012"</f>
        <v>R-4/2012</v>
      </c>
      <c r="B446" s="1" t="s">
        <v>56</v>
      </c>
      <c r="C446" s="1" t="s">
        <v>1800</v>
      </c>
      <c r="D446" s="1" t="str">
        <f>"EV-709-012/2011"</f>
        <v>EV-709-012/2011</v>
      </c>
      <c r="E446" s="2"/>
      <c r="F446" s="1" t="str">
        <f>"0,00"</f>
        <v>0,00</v>
      </c>
      <c r="G446" s="1" t="str">
        <f>"09.10.2012."</f>
        <v>09.10.2012.</v>
      </c>
      <c r="H446" s="1" t="str">
        <f>CONCATENATE("M. SOLDO D.O.O., ZAGREB",CHAR(10),"GEOGIS D.O.O., ZAGREB")</f>
        <v>M. SOLDO D.O.O., ZAGREB
GEOGIS D.O.O., ZAGREB</v>
      </c>
      <c r="I446" s="2"/>
      <c r="J446" s="1"/>
      <c r="K446" s="2"/>
    </row>
    <row r="447" spans="1:11" ht="78.75" x14ac:dyDescent="0.25">
      <c r="A447" s="1" t="str">
        <f>"429/2012"</f>
        <v>429/2012</v>
      </c>
      <c r="B447" s="1" t="s">
        <v>14</v>
      </c>
      <c r="C447" s="1" t="s">
        <v>1801</v>
      </c>
      <c r="D447" s="1" t="str">
        <f>CONCATENATE("1080-2012-EMV",CHAR(10),"2012/S 002-0030909 od 15.06.2012.")</f>
        <v>1080-2012-EMV
2012/S 002-0030909 od 15.06.2012.</v>
      </c>
      <c r="E447" s="1" t="s">
        <v>15</v>
      </c>
      <c r="F447" s="1" t="str">
        <f>"138.412,00"</f>
        <v>138.412,00</v>
      </c>
      <c r="G447" s="1" t="str">
        <f>CONCATENATE("09.10.2012.",CHAR(10),"12 mjeseci, računajući od dana obostranog potpisa Ugovora")</f>
        <v>09.10.2012.
12 mjeseci, računajući od dana obostranog potpisa Ugovora</v>
      </c>
      <c r="H447" s="1" t="str">
        <f>CONCATENATE("STROJOOBNOVA OBRT ZA SERVISIRANJE, POPRAVAK I MONTAŽU POLJOPRIVREDNIH STROJEVA, VL. TIHOMOR LJUBIĆ, DONJA PUŠĆA")</f>
        <v>STROJOOBNOVA OBRT ZA SERVISIRANJE, POPRAVAK I MONTAŽU POLJOPRIVREDNIH STROJEVA, VL. TIHOMOR LJUBIĆ, DONJA PUŠĆA</v>
      </c>
      <c r="I447" s="1" t="s">
        <v>253</v>
      </c>
      <c r="J447" s="1" t="str">
        <f>SUBSTITUTE(SUBSTITUTE(SUBSTITUTE("104,256.28",".","-"),",","."),"-",",")</f>
        <v>104.256,28</v>
      </c>
      <c r="K447" s="2"/>
    </row>
    <row r="448" spans="1:11" ht="78.75" x14ac:dyDescent="0.25">
      <c r="A448" s="1" t="str">
        <f>"430/2012"</f>
        <v>430/2012</v>
      </c>
      <c r="B448" s="1" t="s">
        <v>14</v>
      </c>
      <c r="C448" s="1" t="s">
        <v>1802</v>
      </c>
      <c r="D448" s="1" t="str">
        <f>CONCATENATE("782-2012-EMV",CHAR(10),"2012/S 002-0026400 od 01.06.2012.")</f>
        <v>782-2012-EMV
2012/S 002-0026400 od 01.06.2012.</v>
      </c>
      <c r="E448" s="1" t="s">
        <v>15</v>
      </c>
      <c r="F448" s="1" t="str">
        <f>"598.525,00"</f>
        <v>598.525,00</v>
      </c>
      <c r="G448" s="1" t="str">
        <f>CONCATENATE("09.10.2012.",CHAR(10),"suk. po obostranom pot. ugovora prema kont. pis. nalozima nar. do konz. ug. uz rok isp. do 10 dana")</f>
        <v>09.10.2012.
suk. po obostranom pot. ugovora prema kont. pis. nalozima nar. do konz. ug. uz rok isp. do 10 dana</v>
      </c>
      <c r="H448" s="1" t="str">
        <f>CONCATENATE("ELEKTROKOVINA D.O.O., HRVATSKI LESKOVAC")</f>
        <v>ELEKTROKOVINA D.O.O., HRVATSKI LESKOVAC</v>
      </c>
      <c r="I448" s="1" t="s">
        <v>60</v>
      </c>
      <c r="J448" s="1" t="str">
        <f>SUBSTITUTE(SUBSTITUTE(SUBSTITUTE("713,958.75",".","-"),",","."),"-",",")</f>
        <v>713.958,75</v>
      </c>
      <c r="K448" s="2"/>
    </row>
    <row r="449" spans="1:11" ht="47.25" x14ac:dyDescent="0.25">
      <c r="A449" s="1" t="str">
        <f>"431/2012"</f>
        <v>431/2012</v>
      </c>
      <c r="B449" s="1" t="s">
        <v>14</v>
      </c>
      <c r="C449" s="1" t="s">
        <v>1803</v>
      </c>
      <c r="D449" s="1" t="str">
        <f>CONCATENATE("251-2012-EMV",CHAR(10),"2012/S 002-0048341 od 06.08.2012.")</f>
        <v>251-2012-EMV
2012/S 002-0048341 od 06.08.2012.</v>
      </c>
      <c r="E449" s="1" t="s">
        <v>15</v>
      </c>
      <c r="F449" s="1" t="str">
        <f>"1.439.734,80"</f>
        <v>1.439.734,80</v>
      </c>
      <c r="G449" s="1" t="str">
        <f>CONCATENATE("09.10.2012.",CHAR(10),"12 mjeseci od dana obostranog potpisa Ugovora")</f>
        <v>09.10.2012.
12 mjeseci od dana obostranog potpisa Ugovora</v>
      </c>
      <c r="H449" s="1" t="str">
        <f>CONCATENATE("MARINO-LUČKO D.O.O., LUČKO")</f>
        <v>MARINO-LUČKO D.O.O., LUČKO</v>
      </c>
      <c r="I449" s="1" t="s">
        <v>253</v>
      </c>
      <c r="J449" s="1" t="str">
        <f>SUBSTITUTE(SUBSTITUTE(SUBSTITUTE("931,985.43",".","-"),",","."),"-",",")</f>
        <v>931.985,43</v>
      </c>
      <c r="K449" s="2"/>
    </row>
    <row r="450" spans="1:11" ht="94.5" x14ac:dyDescent="0.25">
      <c r="A450" s="1" t="str">
        <f>"432/2012"</f>
        <v>432/2012</v>
      </c>
      <c r="B450" s="1" t="s">
        <v>14</v>
      </c>
      <c r="C450" s="1" t="s">
        <v>1804</v>
      </c>
      <c r="D450" s="1" t="str">
        <f>CONCATENATE("1964-2012-EMV",CHAR(10),"2012/S 002-0040465 od 16.07.2012.")</f>
        <v>1964-2012-EMV
2012/S 002-0040465 od 16.07.2012.</v>
      </c>
      <c r="E450" s="1" t="s">
        <v>15</v>
      </c>
      <c r="F450" s="1" t="str">
        <f>"147.100,00"</f>
        <v>147.100,00</v>
      </c>
      <c r="G450" s="1" t="str">
        <f>CONCATENATE("11.10.2012.",CHAR(10),"180 dana, računajući od dana obostranog potpisa Ugovora")</f>
        <v>11.10.2012.
180 dana, računajući od dana obostranog potpisa Ugovora</v>
      </c>
      <c r="H450" s="1" t="str">
        <f>CONCATENATE("PRONGRAD BIRO D.O.O., ZAGREB",CHAR(10),"VPB D.D., ZAGREB",CHAR(10),"GEOFORMAT D.O.O., ZAGREB")</f>
        <v>PRONGRAD BIRO D.O.O., ZAGREB
VPB D.D., ZAGREB
GEOFORMAT D.O.O., ZAGREB</v>
      </c>
      <c r="I450" s="2"/>
      <c r="J450" s="1"/>
      <c r="K450" s="2"/>
    </row>
    <row r="451" spans="1:11" ht="47.25" x14ac:dyDescent="0.25">
      <c r="A451" s="1" t="str">
        <f>"433/2012"</f>
        <v>433/2012</v>
      </c>
      <c r="B451" s="1" t="s">
        <v>14</v>
      </c>
      <c r="C451" s="1" t="s">
        <v>1805</v>
      </c>
      <c r="D451" s="1" t="str">
        <f>CONCATENATE("889-2012-EMV",CHAR(10),"2012/S 002-0024587 od 28.05.2012.")</f>
        <v>889-2012-EMV
2012/S 002-0024587 od 28.05.2012.</v>
      </c>
      <c r="E451" s="1" t="s">
        <v>15</v>
      </c>
      <c r="F451" s="1" t="str">
        <f>"214.838,00"</f>
        <v>214.838,00</v>
      </c>
      <c r="G451" s="1" t="str">
        <f>CONCATENATE("11.10.2012.",CHAR(10),"2 mjeseca, računajući od dana uvođenja u posao")</f>
        <v>11.10.2012.
2 mjeseca, računajući od dana uvođenja u posao</v>
      </c>
      <c r="H451" s="1" t="str">
        <f>CONCATENATE("PEEK PROMET D.O.O., ZAGREB",CHAR(10),"TRAFFICON D.O.O., ZAGREB")</f>
        <v>PEEK PROMET D.O.O., ZAGREB
TRAFFICON D.O.O., ZAGREB</v>
      </c>
      <c r="I451" s="2"/>
      <c r="J451" s="1"/>
      <c r="K451" s="2"/>
    </row>
    <row r="452" spans="1:11" ht="78.75" x14ac:dyDescent="0.25">
      <c r="A452" s="1" t="str">
        <f>"434/2012"</f>
        <v>434/2012</v>
      </c>
      <c r="B452" s="1" t="s">
        <v>14</v>
      </c>
      <c r="C452" s="1" t="s">
        <v>1806</v>
      </c>
      <c r="D452" s="1" t="str">
        <f>CONCATENATE("1974-2012-EMV",CHAR(10),"2012/S 002-0042543 od 19.07.2012.")</f>
        <v>1974-2012-EMV
2012/S 002-0042543 od 19.07.2012.</v>
      </c>
      <c r="E452" s="1" t="s">
        <v>15</v>
      </c>
      <c r="F452" s="1" t="str">
        <f>"57.000,00"</f>
        <v>57.000,00</v>
      </c>
      <c r="G452" s="1" t="str">
        <f>CONCATENATE("11.10.2012.",CHAR(10),"20 dana, računajući od dana obostranog potpisa Ugovora")</f>
        <v>11.10.2012.
20 dana, računajući od dana obostranog potpisa Ugovora</v>
      </c>
      <c r="H452" s="1" t="str">
        <f>CONCATENATE("GEOTEHNIČKI STUDIO D.O.O., ZAGREB")</f>
        <v>GEOTEHNIČKI STUDIO D.O.O., ZAGREB</v>
      </c>
      <c r="I452" s="1" t="s">
        <v>19</v>
      </c>
      <c r="J452" s="1" t="str">
        <f>SUBSTITUTE(SUBSTITUTE(SUBSTITUTE("71,250.00",".","-"),",","."),"-",",")</f>
        <v>71.250,00</v>
      </c>
      <c r="K452" s="2"/>
    </row>
    <row r="453" spans="1:11" ht="47.25" x14ac:dyDescent="0.25">
      <c r="A453" s="1" t="str">
        <f>"435/2012"</f>
        <v>435/2012</v>
      </c>
      <c r="B453" s="1" t="s">
        <v>14</v>
      </c>
      <c r="C453" s="1" t="s">
        <v>1807</v>
      </c>
      <c r="D453" s="1" t="str">
        <f>CONCATENATE("1121-2012-EMV",CHAR(10),"2012/S 002-0033248 od 21.06.2012.")</f>
        <v>1121-2012-EMV
2012/S 002-0033248 od 21.06.2012.</v>
      </c>
      <c r="E453" s="1" t="s">
        <v>15</v>
      </c>
      <c r="F453" s="1" t="str">
        <f>"960.000,00"</f>
        <v>960.000,00</v>
      </c>
      <c r="G453" s="1" t="str">
        <f>CONCATENATE("11.10.2012.",CHAR(10),"12 mjeseci, računajući od dana obostranog potpisa Ugovora")</f>
        <v>11.10.2012.
12 mjeseci, računajući od dana obostranog potpisa Ugovora</v>
      </c>
      <c r="H453" s="1" t="str">
        <f>CONCATENATE("INSTITUT ZA MEDICINSKA ISTRAŽIVANJA I MEDICINU RADA, ZAGREB")</f>
        <v>INSTITUT ZA MEDICINSKA ISTRAŽIVANJA I MEDICINU RADA, ZAGREB</v>
      </c>
      <c r="I453" s="1" t="s">
        <v>161</v>
      </c>
      <c r="J453" s="1" t="str">
        <f>SUBSTITUTE(SUBSTITUTE(SUBSTITUTE("1,200,000.00",".","-"),",","."),"-",",")</f>
        <v>1.200.000,00</v>
      </c>
      <c r="K453" s="2"/>
    </row>
    <row r="454" spans="1:11" ht="47.25" x14ac:dyDescent="0.25">
      <c r="A454" s="1" t="str">
        <f>"436/2012"</f>
        <v>436/2012</v>
      </c>
      <c r="B454" s="1" t="s">
        <v>14</v>
      </c>
      <c r="C454" s="1" t="s">
        <v>1808</v>
      </c>
      <c r="D454" s="1" t="str">
        <f>CONCATENATE("1101-2012-EMV",CHAR(10),"2012/S 002-0041534 od 17.07.2012.")</f>
        <v>1101-2012-EMV
2012/S 002-0041534 od 17.07.2012.</v>
      </c>
      <c r="E454" s="1" t="s">
        <v>15</v>
      </c>
      <c r="F454" s="1" t="str">
        <f>"531.054,31"</f>
        <v>531.054,31</v>
      </c>
      <c r="G454" s="1" t="str">
        <f>CONCATENATE("11.10.2012.",CHAR(10),"3 mjeseca od dana uvođenja u posao")</f>
        <v>11.10.2012.
3 mjeseca od dana uvođenja u posao</v>
      </c>
      <c r="H454" s="1" t="str">
        <f>CONCATENATE("RETEL D.O.O., ZAGREB")</f>
        <v>RETEL D.O.O., ZAGREB</v>
      </c>
      <c r="I454" s="2"/>
      <c r="J454" s="1"/>
      <c r="K454" s="2"/>
    </row>
    <row r="455" spans="1:11" ht="47.25" x14ac:dyDescent="0.25">
      <c r="A455" s="1" t="str">
        <f>"437/2012"</f>
        <v>437/2012</v>
      </c>
      <c r="B455" s="1" t="s">
        <v>14</v>
      </c>
      <c r="C455" s="1" t="s">
        <v>1809</v>
      </c>
      <c r="D455" s="1" t="str">
        <f>CONCATENATE("1837-2012-EMV",CHAR(10),"2012/S 002-0038004 od 06.07.2012.")</f>
        <v>1837-2012-EMV
2012/S 002-0038004 od 06.07.2012.</v>
      </c>
      <c r="E455" s="1" t="s">
        <v>15</v>
      </c>
      <c r="F455" s="1" t="str">
        <f>"91.101,00"</f>
        <v>91.101,00</v>
      </c>
      <c r="G455" s="1" t="str">
        <f>CONCATENATE("11.10.2012.",CHAR(10),"60 dana, računajući od dana uvođenja u posao")</f>
        <v>11.10.2012.
60 dana, računajući od dana uvođenja u posao</v>
      </c>
      <c r="H455" s="1" t="str">
        <f>CONCATENATE("TIGRA D.O.O., ZAGREB",CHAR(10),"GEO-BIM D.O.O., SAMOBOR")</f>
        <v>TIGRA D.O.O., ZAGREB
GEO-BIM D.O.O., SAMOBOR</v>
      </c>
      <c r="I455" s="2"/>
      <c r="J455" s="1"/>
      <c r="K455" s="2"/>
    </row>
    <row r="456" spans="1:11" ht="47.25" x14ac:dyDescent="0.25">
      <c r="A456" s="1" t="str">
        <f>"438/2012"</f>
        <v>438/2012</v>
      </c>
      <c r="B456" s="1" t="s">
        <v>14</v>
      </c>
      <c r="C456" s="1" t="s">
        <v>1810</v>
      </c>
      <c r="D456" s="1" t="str">
        <f>CONCATENATE("23-2012-EMV",CHAR(10),"2012/S 002-0043481 od 23.07.2012.")</f>
        <v>23-2012-EMV
2012/S 002-0043481 od 23.07.2012.</v>
      </c>
      <c r="E456" s="1" t="s">
        <v>15</v>
      </c>
      <c r="F456" s="1" t="str">
        <f>"197.860,00"</f>
        <v>197.860,00</v>
      </c>
      <c r="G456" s="1" t="str">
        <f>CONCATENATE("11.10.2012.",CHAR(10),"1 godina, računajući od dana uvođenja u posao")</f>
        <v>11.10.2012.
1 godina, računajući od dana uvođenja u posao</v>
      </c>
      <c r="H456" s="1" t="str">
        <f>CONCATENATE("MONTEL D.O.O., ZAGREB")</f>
        <v>MONTEL D.O.O., ZAGREB</v>
      </c>
      <c r="I456" s="1" t="s">
        <v>254</v>
      </c>
      <c r="J456" s="1" t="str">
        <f>SUBSTITUTE(SUBSTITUTE(SUBSTITUTE("247,325.00",".","-"),",","."),"-",",")</f>
        <v>247.325,00</v>
      </c>
      <c r="K456" s="2"/>
    </row>
    <row r="457" spans="1:11" ht="47.25" x14ac:dyDescent="0.25">
      <c r="A457" s="1" t="str">
        <f>"439/2012"</f>
        <v>439/2012</v>
      </c>
      <c r="B457" s="1" t="s">
        <v>14</v>
      </c>
      <c r="C457" s="1" t="s">
        <v>1811</v>
      </c>
      <c r="D457" s="1" t="str">
        <f>CONCATENATE("2072-2012-EMV",CHAR(10),"2012/S 002-0047783 od 03.08.2012.")</f>
        <v>2072-2012-EMV
2012/S 002-0047783 od 03.08.2012.</v>
      </c>
      <c r="E457" s="1" t="s">
        <v>15</v>
      </c>
      <c r="F457" s="1" t="str">
        <f>"566.944,00"</f>
        <v>566.944,00</v>
      </c>
      <c r="G457" s="1" t="str">
        <f>CONCATENATE("11.10.2012.",CHAR(10),"45 dana, računajući od dana uvođenja u posao")</f>
        <v>11.10.2012.
45 dana, računajući od dana uvođenja u posao</v>
      </c>
      <c r="H457" s="1" t="str">
        <f>CONCATENATE("TEH-GRADNJA D.O.O., ZAGREB")</f>
        <v>TEH-GRADNJA D.O.O., ZAGREB</v>
      </c>
      <c r="I457" s="2"/>
      <c r="J457" s="1"/>
      <c r="K457" s="2"/>
    </row>
    <row r="458" spans="1:11" ht="110.25" x14ac:dyDescent="0.25">
      <c r="A458" s="1" t="str">
        <f>"A-11/2012"</f>
        <v>A-11/2012</v>
      </c>
      <c r="B458" s="1" t="s">
        <v>11</v>
      </c>
      <c r="C458" s="1" t="s">
        <v>255</v>
      </c>
      <c r="D458" s="1" t="str">
        <f>"838-2012-EMV"</f>
        <v>838-2012-EMV</v>
      </c>
      <c r="E458" s="2"/>
      <c r="F458" s="1" t="str">
        <f>"0,00"</f>
        <v>0,00</v>
      </c>
      <c r="G458" s="1" t="str">
        <f>CONCATENATE("11.10.2012.",CHAR(10),"01.11.2012.")</f>
        <v>11.10.2012.
01.11.2012.</v>
      </c>
      <c r="H458" s="1" t="str">
        <f>CONCATENATE("HIDROCOMMERCE D.O.O., GORNJI STUPNIK")</f>
        <v>HIDROCOMMERCE D.O.O., GORNJI STUPNIK</v>
      </c>
      <c r="I458" s="2"/>
      <c r="J458" s="1"/>
      <c r="K458" s="2"/>
    </row>
    <row r="459" spans="1:11" ht="47.25" x14ac:dyDescent="0.25">
      <c r="A459" s="1" t="str">
        <f>"A-12/2012"</f>
        <v>A-12/2012</v>
      </c>
      <c r="B459" s="1" t="s">
        <v>11</v>
      </c>
      <c r="C459" s="1" t="s">
        <v>256</v>
      </c>
      <c r="D459" s="1" t="str">
        <f>"EV-605-009/2011"</f>
        <v>EV-605-009/2011</v>
      </c>
      <c r="E459" s="2"/>
      <c r="F459" s="1" t="str">
        <f>"0,00"</f>
        <v>0,00</v>
      </c>
      <c r="G459" s="1" t="str">
        <f>CONCATENATE("11.10.2012.",CHAR(10),"158 dana, računajući od dana uvođenja u posao")</f>
        <v>11.10.2012.
158 dana, računajući od dana uvođenja u posao</v>
      </c>
      <c r="H459" s="1" t="str">
        <f>CONCATENATE("PRESOFLEX GRADNJA D.O.O., POŽEGA")</f>
        <v>PRESOFLEX GRADNJA D.O.O., POŽEGA</v>
      </c>
      <c r="I459" s="2"/>
      <c r="J459" s="1"/>
      <c r="K459" s="2"/>
    </row>
    <row r="460" spans="1:11" ht="47.25" x14ac:dyDescent="0.25">
      <c r="A460" s="1" t="str">
        <f>"440/2012"</f>
        <v>440/2012</v>
      </c>
      <c r="B460" s="1" t="s">
        <v>14</v>
      </c>
      <c r="C460" s="1" t="s">
        <v>1812</v>
      </c>
      <c r="D460" s="1" t="str">
        <f>CONCATENATE("1976-2012-EMV",CHAR(10),"2012/S 002-0047405 od 02.08.2012.")</f>
        <v>1976-2012-EMV
2012/S 002-0047405 od 02.08.2012.</v>
      </c>
      <c r="E460" s="1" t="s">
        <v>15</v>
      </c>
      <c r="F460" s="1" t="str">
        <f>"63.177,00"</f>
        <v>63.177,00</v>
      </c>
      <c r="G460" s="1" t="str">
        <f>CONCATENATE("11.10.2012.",CHAR(10),"60 dana, računajući od dana uvođenja u posao")</f>
        <v>11.10.2012.
60 dana, računajući od dana uvođenja u posao</v>
      </c>
      <c r="H460" s="1" t="str">
        <f>CONCATENATE("O.K.I. MONT D.O.O., ZAGREB",CHAR(10),"KEMIS-TERMOCLEAN D.O.O., ZAGREB")</f>
        <v>O.K.I. MONT D.O.O., ZAGREB
KEMIS-TERMOCLEAN D.O.O., ZAGREB</v>
      </c>
      <c r="I460" s="1" t="s">
        <v>39</v>
      </c>
      <c r="J460" s="1" t="str">
        <f>SUBSTITUTE(SUBSTITUTE(SUBSTITUTE("78,608.35",".","-"),",","."),"-",",")</f>
        <v>78.608,35</v>
      </c>
      <c r="K460" s="2"/>
    </row>
    <row r="461" spans="1:11" ht="47.25" x14ac:dyDescent="0.25">
      <c r="A461" s="1" t="str">
        <f>"441/2012"</f>
        <v>441/2012</v>
      </c>
      <c r="B461" s="1" t="s">
        <v>14</v>
      </c>
      <c r="C461" s="1" t="s">
        <v>1813</v>
      </c>
      <c r="D461" s="1" t="str">
        <f>CONCATENATE("247-2012-EMV",CHAR(10),"2012/S 015-0058229 od 10.09.2012.")</f>
        <v>247-2012-EMV
2012/S 015-0058229 od 10.09.2012.</v>
      </c>
      <c r="E461" s="1" t="s">
        <v>12</v>
      </c>
      <c r="F461" s="1" t="str">
        <f>"705.264,90"</f>
        <v>705.264,90</v>
      </c>
      <c r="G461" s="1" t="str">
        <f>CONCATENATE("10.09.2012.",CHAR(10),"12 mjeseci od dana obostranog potpisa Ugovora")</f>
        <v>10.09.2012.
12 mjeseci od dana obostranog potpisa Ugovora</v>
      </c>
      <c r="H461" s="1" t="str">
        <f>CONCATENATE("NARODNE NOVINE D.D., ZAGREB")</f>
        <v>NARODNE NOVINE D.D., ZAGREB</v>
      </c>
      <c r="I461" s="1" t="s">
        <v>176</v>
      </c>
      <c r="J461" s="1" t="str">
        <f>SUBSTITUTE(SUBSTITUTE(SUBSTITUTE("571,452.30",".","-"),",","."),"-",",")</f>
        <v>571.452,30</v>
      </c>
      <c r="K461" s="2"/>
    </row>
    <row r="462" spans="1:11" ht="110.25" x14ac:dyDescent="0.25">
      <c r="A462" s="1" t="str">
        <f>"442/2012"</f>
        <v>442/2012</v>
      </c>
      <c r="B462" s="1" t="s">
        <v>14</v>
      </c>
      <c r="C462" s="1" t="s">
        <v>1814</v>
      </c>
      <c r="D462" s="1" t="str">
        <f>CONCATENATE("1858-2012-EMV",CHAR(10),"2012/S 002-0036791 od 04.07.2012.")</f>
        <v>1858-2012-EMV
2012/S 002-0036791 od 04.07.2012.</v>
      </c>
      <c r="E462" s="1" t="s">
        <v>15</v>
      </c>
      <c r="F462" s="1" t="str">
        <f>"3.937.720,87"</f>
        <v>3.937.720,87</v>
      </c>
      <c r="G462" s="1" t="str">
        <f>CONCATENATE("15.10.2012.",CHAR(10),"8 mjeseci, računajući od dana uvođenja u posao")</f>
        <v>15.10.2012.
8 mjeseci, računajući od dana uvođenja u posao</v>
      </c>
      <c r="H462" s="1" t="str">
        <f>CONCATENATE("TEH-GRADNJA D.O.O., ZAGREB",CHAR(10),"GEOANDA D.O.O., ZAGREB",CHAR(10),"C.I.A.K. D.O.O., ZAGREB",CHAR(10),"INSPEKT D.O.O., ZAGREB",CHAR(10),"VIZOR D.O.O., VARAŽDIN",CHAR(10),"EURO-S 2000 D.O.O., ZAGREB",CHAR(10),"GEOEXPERT-I.G.M. D.O.O., ZAGREB")</f>
        <v>TEH-GRADNJA D.O.O., ZAGREB
GEOANDA D.O.O., ZAGREB
C.I.A.K. D.O.O., ZAGREB
INSPEKT D.O.O., ZAGREB
VIZOR D.O.O., VARAŽDIN
EURO-S 2000 D.O.O., ZAGREB
GEOEXPERT-I.G.M. D.O.O., ZAGREB</v>
      </c>
      <c r="I462" s="1" t="s">
        <v>257</v>
      </c>
      <c r="J462" s="1" t="str">
        <f>SUBSTITUTE(SUBSTITUTE(SUBSTITUTE("4,922,151.09",".","-"),",","."),"-",",")</f>
        <v>4.922.151,09</v>
      </c>
      <c r="K462" s="2"/>
    </row>
    <row r="463" spans="1:11" ht="63" x14ac:dyDescent="0.25">
      <c r="A463" s="1" t="str">
        <f>"445/2012"</f>
        <v>445/2012</v>
      </c>
      <c r="B463" s="1" t="s">
        <v>14</v>
      </c>
      <c r="C463" s="1" t="s">
        <v>818</v>
      </c>
      <c r="D463" s="1" t="str">
        <f>CONCATENATE("908-2012-EMV",CHAR(10),"2012/S 002-0041541 od 17.07.2012.")</f>
        <v>908-2012-EMV
2012/S 002-0041541 od 17.07.2012.</v>
      </c>
      <c r="E463" s="1" t="s">
        <v>15</v>
      </c>
      <c r="F463" s="1" t="str">
        <f>"979.822,70"</f>
        <v>979.822,70</v>
      </c>
      <c r="G463" s="1" t="str">
        <f>CONCATENATE("17.10.2012.",CHAR(10),"u roku od godine dana, računajući od obostranog potpisa Ugovora")</f>
        <v>17.10.2012.
u roku od godine dana, računajući od obostranog potpisa Ugovora</v>
      </c>
      <c r="H463" s="1" t="str">
        <f>CONCATENATE("GRADITELJ SVRATIŠTA D.O.O., ZAGREB",CHAR(10),"EUROCIJEV, ZAGREB",CHAR(10),"ROGIĆ I PARTNERI D.O.O., ZAGREB")</f>
        <v>GRADITELJ SVRATIŠTA D.O.O., ZAGREB
EUROCIJEV, ZAGREB
ROGIĆ I PARTNERI D.O.O., ZAGREB</v>
      </c>
      <c r="I463" s="1" t="s">
        <v>258</v>
      </c>
      <c r="J463" s="1" t="str">
        <f>SUBSTITUTE(SUBSTITUTE(SUBSTITUTE("1,224,612.08",".","-"),",","."),"-",",")</f>
        <v>1.224.612,08</v>
      </c>
      <c r="K463" s="2"/>
    </row>
    <row r="464" spans="1:11" ht="47.25" x14ac:dyDescent="0.25">
      <c r="A464" s="1" t="str">
        <f>"446/2012"</f>
        <v>446/2012</v>
      </c>
      <c r="B464" s="1" t="s">
        <v>14</v>
      </c>
      <c r="C464" s="1" t="s">
        <v>1815</v>
      </c>
      <c r="D464" s="1" t="str">
        <f>CONCATENATE("2694-2012-EMV",CHAR(10),"2012/S 002-0041394 od 17.07.2012.")</f>
        <v>2694-2012-EMV
2012/S 002-0041394 od 17.07.2012.</v>
      </c>
      <c r="E464" s="1" t="s">
        <v>15</v>
      </c>
      <c r="F464" s="1" t="str">
        <f>"957.075,80"</f>
        <v>957.075,80</v>
      </c>
      <c r="G464" s="1" t="str">
        <f>CONCATENATE("17.10.2012.",CHAR(10),"u roku od 60 dana, računajući od dana uvođenja u posao")</f>
        <v>17.10.2012.
u roku od 60 dana, računajući od dana uvođenja u posao</v>
      </c>
      <c r="H464" s="1" t="str">
        <f>CONCATENATE("GRADITELJ SVRATIŠTA D.O.O., ZAGREB")</f>
        <v>GRADITELJ SVRATIŠTA D.O.O., ZAGREB</v>
      </c>
      <c r="I464" s="2"/>
      <c r="J464" s="1"/>
      <c r="K464" s="2"/>
    </row>
    <row r="465" spans="1:11" ht="47.25" x14ac:dyDescent="0.25">
      <c r="A465" s="1" t="str">
        <f>"447/2012"</f>
        <v>447/2012</v>
      </c>
      <c r="B465" s="1" t="s">
        <v>14</v>
      </c>
      <c r="C465" s="1" t="s">
        <v>1816</v>
      </c>
      <c r="D465" s="1" t="str">
        <f>CONCATENATE("2548-2012-EMV",CHAR(10),"2012/S 002-0041945 od 18.07.2012.")</f>
        <v>2548-2012-EMV
2012/S 002-0041945 od 18.07.2012.</v>
      </c>
      <c r="E465" s="1" t="s">
        <v>15</v>
      </c>
      <c r="F465" s="1" t="str">
        <f>"432.690,00"</f>
        <v>432.690,00</v>
      </c>
      <c r="G465" s="1" t="str">
        <f>CONCATENATE("18.10.2012.",CHAR(10),"u roku od 40 dana, računajući od dana uvođenja u posao")</f>
        <v>18.10.2012.
u roku od 40 dana, računajući od dana uvođenja u posao</v>
      </c>
      <c r="H465" s="1" t="str">
        <f>CONCATENATE("P.G.P. D.O.O., ZAGREB",CHAR(10),"JURČIĆ INVEST D.O.O., ZAGREB")</f>
        <v>P.G.P. D.O.O., ZAGREB
JURČIĆ INVEST D.O.O., ZAGREB</v>
      </c>
      <c r="I465" s="2"/>
      <c r="J465" s="1"/>
      <c r="K465" s="2"/>
    </row>
    <row r="466" spans="1:11" ht="63" x14ac:dyDescent="0.25">
      <c r="A466" s="1" t="str">
        <f>"448/2012"</f>
        <v>448/2012</v>
      </c>
      <c r="B466" s="1" t="s">
        <v>14</v>
      </c>
      <c r="C466" s="1" t="s">
        <v>1817</v>
      </c>
      <c r="D466" s="1" t="str">
        <f>CONCATENATE("1978-2012-EMV",CHAR(10),"2012/s 002-0044987 od 27.07.2012.")</f>
        <v>1978-2012-EMV
2012/s 002-0044987 od 27.07.2012.</v>
      </c>
      <c r="E466" s="1" t="s">
        <v>15</v>
      </c>
      <c r="F466" s="1" t="str">
        <f>"35.000,00"</f>
        <v>35.000,00</v>
      </c>
      <c r="G466" s="1" t="str">
        <f>CONCATENATE("18.10.2012.",CHAR(10),"u roku od 180 dana, računajući od dana obostranog potpisa Ugovora")</f>
        <v>18.10.2012.
u roku od 180 dana, računajući od dana obostranog potpisa Ugovora</v>
      </c>
      <c r="H466" s="1" t="str">
        <f>CONCATENATE("EKO-PLAN D.O.O., ZAGREB",CHAR(10),"GEOPROJEKT D.O.O., ZAGREB",CHAR(10),"KOPIMA D.O.O, ZAGREB")</f>
        <v>EKO-PLAN D.O.O., ZAGREB
GEOPROJEKT D.O.O., ZAGREB
KOPIMA D.O.O, ZAGREB</v>
      </c>
      <c r="I466" s="2"/>
      <c r="J466" s="1"/>
      <c r="K466" s="2"/>
    </row>
    <row r="467" spans="1:11" ht="47.25" x14ac:dyDescent="0.25">
      <c r="A467" s="1" t="str">
        <f>"449/2012"</f>
        <v>449/2012</v>
      </c>
      <c r="B467" s="1" t="s">
        <v>14</v>
      </c>
      <c r="C467" s="1" t="s">
        <v>1818</v>
      </c>
      <c r="D467" s="1" t="str">
        <f>CONCATENATE("448-2012-EMV",CHAR(10),"2012/S 002-0024246 od 28.05.2012.")</f>
        <v>448-2012-EMV
2012/S 002-0024246 od 28.05.2012.</v>
      </c>
      <c r="E467" s="1" t="s">
        <v>15</v>
      </c>
      <c r="F467" s="1" t="str">
        <f>"64.865,00"</f>
        <v>64.865,00</v>
      </c>
      <c r="G467" s="1" t="str">
        <f>CONCATENATE("18.10.2012.",CHAR(10),"u roku od 30 dana, računajući od dana uvođenja u posao")</f>
        <v>18.10.2012.
u roku od 30 dana, računajući od dana uvođenja u posao</v>
      </c>
      <c r="H467" s="1" t="str">
        <f>CONCATENATE("ALARM AUTOMATIKA D.O.O., RIJEKA",CHAR(10),"TIM D.O.O., ZAGREB")</f>
        <v>ALARM AUTOMATIKA D.O.O., RIJEKA
TIM D.O.O., ZAGREB</v>
      </c>
      <c r="I467" s="1" t="s">
        <v>259</v>
      </c>
      <c r="J467" s="1" t="str">
        <f>SUBSTITUTE(SUBSTITUTE(SUBSTITUTE("72,880.00",".","-"),",","."),"-",",")</f>
        <v>72.880,00</v>
      </c>
      <c r="K467" s="2"/>
    </row>
    <row r="468" spans="1:11" ht="78.75" x14ac:dyDescent="0.25">
      <c r="A468" s="1" t="str">
        <f>"450/2012"</f>
        <v>450/2012</v>
      </c>
      <c r="B468" s="1" t="s">
        <v>14</v>
      </c>
      <c r="C468" s="1" t="s">
        <v>1819</v>
      </c>
      <c r="D468" s="1" t="str">
        <f>"485-2012-EVV"</f>
        <v>485-2012-EVV</v>
      </c>
      <c r="E468" s="1" t="s">
        <v>40</v>
      </c>
      <c r="F468" s="1" t="str">
        <f>"768.600,00"</f>
        <v>768.600,00</v>
      </c>
      <c r="G468" s="1" t="str">
        <f>CONCATENATE("18.10.2012.",CHAR(10),"u roku 12 mjeseci od dana obostranog potpisa Ugovora")</f>
        <v>18.10.2012.
u roku 12 mjeseci od dana obostranog potpisa Ugovora</v>
      </c>
      <c r="H468" s="1" t="str">
        <f>CONCATENATE("SPECIJALNA BOLNICA ZA MEDICINSKU REHABILITACIJU KRAPINSKE TOPLICE, KRAPINSKE TOPLICE")</f>
        <v>SPECIJALNA BOLNICA ZA MEDICINSKU REHABILITACIJU KRAPINSKE TOPLICE, KRAPINSKE TOPLICE</v>
      </c>
      <c r="I468" s="1" t="s">
        <v>260</v>
      </c>
      <c r="J468" s="1" t="str">
        <f>SUBSTITUTE(SUBSTITUTE(SUBSTITUTE("531,900.00",".","-"),",","."),"-",",")</f>
        <v>531.900,00</v>
      </c>
      <c r="K468" s="2"/>
    </row>
    <row r="469" spans="1:11" ht="47.25" x14ac:dyDescent="0.25">
      <c r="A469" s="1" t="str">
        <f>"451/2012"</f>
        <v>451/2012</v>
      </c>
      <c r="B469" s="1" t="s">
        <v>14</v>
      </c>
      <c r="C469" s="1" t="s">
        <v>1820</v>
      </c>
      <c r="D469" s="1" t="str">
        <f>CONCATENATE("120-2012-EMV",CHAR(10),"2012/S 015-0062093 od 20.09.2012.")</f>
        <v>120-2012-EMV
2012/S 015-0062093 od 20.09.2012.</v>
      </c>
      <c r="E469" s="1" t="s">
        <v>40</v>
      </c>
      <c r="F469" s="1" t="str">
        <f>"149.977,01"</f>
        <v>149.977,01</v>
      </c>
      <c r="G469" s="1" t="str">
        <f>CONCATENATE("18.10.2012.",CHAR(10),"u roku od 90 dana od dana obostranog potpisa Ugovora")</f>
        <v>18.10.2012.
u roku od 90 dana od dana obostranog potpisa Ugovora</v>
      </c>
      <c r="H469" s="1" t="str">
        <f>CONCATENATE("HUP-ZAGREB D.D. SHERATON HOTEL ZAGREB, ZAGREB")</f>
        <v>HUP-ZAGREB D.D. SHERATON HOTEL ZAGREB, ZAGREB</v>
      </c>
      <c r="I469" s="1" t="s">
        <v>165</v>
      </c>
      <c r="J469" s="1" t="str">
        <f>SUBSTITUTE(SUBSTITUTE(SUBSTITUTE("162,166.14",".","-"),",","."),"-",",")</f>
        <v>162.166,14</v>
      </c>
      <c r="K469" s="2"/>
    </row>
    <row r="470" spans="1:11" ht="47.25" x14ac:dyDescent="0.25">
      <c r="A470" s="1" t="str">
        <f>"452/2012"</f>
        <v>452/2012</v>
      </c>
      <c r="B470" s="1" t="s">
        <v>14</v>
      </c>
      <c r="C470" s="1" t="s">
        <v>1821</v>
      </c>
      <c r="D470" s="1" t="str">
        <f>CONCATENATE("2481-2012-EMV",CHAR(10),"2012/S 002-0039774 od 12.07.2012.")</f>
        <v>2481-2012-EMV
2012/S 002-0039774 od 12.07.2012.</v>
      </c>
      <c r="E470" s="1" t="s">
        <v>15</v>
      </c>
      <c r="F470" s="1" t="str">
        <f>"529.468,75"</f>
        <v>529.468,75</v>
      </c>
      <c r="G470" s="1" t="str">
        <f>CONCATENATE("18.10.2012.",CHAR(10),"u roku od 30 dana od dana uvođenja u posao")</f>
        <v>18.10.2012.
u roku od 30 dana od dana uvođenja u posao</v>
      </c>
      <c r="H470" s="1" t="str">
        <f>CONCATENATE("FLORICON D.O.O., ZAGREB")</f>
        <v>FLORICON D.O.O., ZAGREB</v>
      </c>
      <c r="I470" s="1" t="s">
        <v>191</v>
      </c>
      <c r="J470" s="1" t="str">
        <f>SUBSTITUTE(SUBSTITUTE(SUBSTITUTE("659,999.75",".","-"),",","."),"-",",")</f>
        <v>659.999,75</v>
      </c>
      <c r="K470" s="2"/>
    </row>
    <row r="471" spans="1:11" ht="78.75" x14ac:dyDescent="0.25">
      <c r="A471" s="1" t="str">
        <f>"453/2012"</f>
        <v>453/2012</v>
      </c>
      <c r="B471" s="1" t="s">
        <v>26</v>
      </c>
      <c r="C471" s="1" t="s">
        <v>261</v>
      </c>
      <c r="D471" s="1" t="str">
        <f>CONCATENATE("129-2012-EVV",CHAR(10),"2012/S 002-0020037 od 16.05.2012.")</f>
        <v>129-2012-EVV
2012/S 002-0020037 od 16.05.2012.</v>
      </c>
      <c r="E471" s="1" t="s">
        <v>97</v>
      </c>
      <c r="F471" s="1" t="str">
        <f>"2.120.655,00"</f>
        <v>2.120.655,00</v>
      </c>
      <c r="G471" s="1" t="str">
        <f>CONCATENATE("18.10.2012.",CHAR(10),"12 mjeseci od dana obostranog potpisa Ugovora")</f>
        <v>18.10.2012.
12 mjeseci od dana obostranog potpisa Ugovora</v>
      </c>
      <c r="H471" s="1" t="str">
        <f>CONCATENATE("COMPING D.O.O., ZAGREB")</f>
        <v>COMPING D.O.O., ZAGREB</v>
      </c>
      <c r="I471" s="1" t="s">
        <v>262</v>
      </c>
      <c r="J471" s="1" t="str">
        <f>SUBSTITUTE(SUBSTITUTE(SUBSTITUTE("2,468,931.25",".","-"),",","."),"-",",")</f>
        <v>2.468.931,25</v>
      </c>
      <c r="K471" s="2"/>
    </row>
    <row r="472" spans="1:11" ht="63" x14ac:dyDescent="0.25">
      <c r="A472" s="1" t="str">
        <f>"A-13/2012"</f>
        <v>A-13/2012</v>
      </c>
      <c r="B472" s="1" t="s">
        <v>11</v>
      </c>
      <c r="C472" s="1" t="s">
        <v>1822</v>
      </c>
      <c r="D472" s="1" t="str">
        <f>"486-2012-EMV"</f>
        <v>486-2012-EMV</v>
      </c>
      <c r="E472" s="2"/>
      <c r="F472" s="1" t="str">
        <f>"0,00"</f>
        <v>0,00</v>
      </c>
      <c r="G472" s="1" t="str">
        <f>"18.10.2012."</f>
        <v>18.10.2012.</v>
      </c>
      <c r="H472" s="1" t="str">
        <f>CONCATENATE("ZAGREBAČKI HOLDING D.O.O., PODRUŽNICA VLADIMIR NAZOR, ZAGREB")</f>
        <v>ZAGREBAČKI HOLDING D.O.O., PODRUŽNICA VLADIMIR NAZOR, ZAGREB</v>
      </c>
      <c r="I472" s="2"/>
      <c r="J472" s="1"/>
      <c r="K472" s="2"/>
    </row>
    <row r="473" spans="1:11" ht="63" x14ac:dyDescent="0.25">
      <c r="A473" s="1" t="str">
        <f>"454/2012"</f>
        <v>454/2012</v>
      </c>
      <c r="B473" s="1" t="s">
        <v>14</v>
      </c>
      <c r="C473" s="1" t="s">
        <v>1823</v>
      </c>
      <c r="D473" s="1" t="str">
        <f>CONCATENATE("2729-2012-EMV",CHAR(10),"2012/S 002-0051338 od 16.08.2012.")</f>
        <v>2729-2012-EMV
2012/S 002-0051338 od 16.08.2012.</v>
      </c>
      <c r="E473" s="1" t="s">
        <v>15</v>
      </c>
      <c r="F473" s="1" t="str">
        <f>"54.564,00"</f>
        <v>54.564,00</v>
      </c>
      <c r="G473" s="1" t="str">
        <f>CONCATENATE("18.10.2012.",CHAR(10),"ugovor traje do konzumiranja ugovorene količine robe, a najduže 6 mjeseci")</f>
        <v>18.10.2012.
ugovor traje do konzumiranja ugovorene količine robe, a najduže 6 mjeseci</v>
      </c>
      <c r="H473" s="1" t="str">
        <f>CONCATENATE("OBUĆA VIKO D.O.O., VARAŽDIN")</f>
        <v>OBUĆA VIKO D.O.O., VARAŽDIN</v>
      </c>
      <c r="I473" s="1" t="s">
        <v>263</v>
      </c>
      <c r="J473" s="1" t="str">
        <f>SUBSTITUTE(SUBSTITUTE(SUBSTITUTE("63,446.25",".","-"),",","."),"-",",")</f>
        <v>63.446,25</v>
      </c>
      <c r="K473" s="2"/>
    </row>
    <row r="474" spans="1:11" ht="78.75" x14ac:dyDescent="0.25">
      <c r="A474" s="1" t="str">
        <f>"455/2012"</f>
        <v>455/2012</v>
      </c>
      <c r="B474" s="1" t="s">
        <v>14</v>
      </c>
      <c r="C474" s="1" t="s">
        <v>1824</v>
      </c>
      <c r="D474" s="1" t="str">
        <f>"485-2012-EVV"</f>
        <v>485-2012-EVV</v>
      </c>
      <c r="E474" s="1" t="s">
        <v>40</v>
      </c>
      <c r="F474" s="1" t="str">
        <f>"383.992,00"</f>
        <v>383.992,00</v>
      </c>
      <c r="G474" s="1" t="str">
        <f>CONCATENATE("18.10.2012.",CHAR(10),"u roku od 12 mjeseci od dana obostranog potpisa Ugovora")</f>
        <v>18.10.2012.
u roku od 12 mjeseci od dana obostranog potpisa Ugovora</v>
      </c>
      <c r="H474" s="1" t="str">
        <f>CONCATENATE("SPECIJALNA BOLNICA ZA MEDICINSKU REHABILITACIJU NAFTALAN, IVANIĆ-GRAD")</f>
        <v>SPECIJALNA BOLNICA ZA MEDICINSKU REHABILITACIJU NAFTALAN, IVANIĆ-GRAD</v>
      </c>
      <c r="I474" s="1" t="s">
        <v>253</v>
      </c>
      <c r="J474" s="1" t="str">
        <f>SUBSTITUTE(SUBSTITUTE(SUBSTITUTE("199,675.84",".","-"),",","."),"-",",")</f>
        <v>199.675,84</v>
      </c>
      <c r="K474" s="2"/>
    </row>
    <row r="475" spans="1:11" ht="47.25" x14ac:dyDescent="0.25">
      <c r="A475" s="1" t="str">
        <f>"456/2012"</f>
        <v>456/2012</v>
      </c>
      <c r="B475" s="1" t="s">
        <v>14</v>
      </c>
      <c r="C475" s="1" t="s">
        <v>1825</v>
      </c>
      <c r="D475" s="1" t="str">
        <f>CONCATENATE("793-2012-EVV",CHAR(10),"2012/S 002-0032737 od 20.06.2012.")</f>
        <v>793-2012-EVV
2012/S 002-0032737 od 20.06.2012.</v>
      </c>
      <c r="E475" s="1" t="s">
        <v>15</v>
      </c>
      <c r="F475" s="1" t="str">
        <f>"3.787.779,60"</f>
        <v>3.787.779,60</v>
      </c>
      <c r="G475" s="1" t="str">
        <f>CONCATENATE("18.10.2012.",CHAR(10),"izvršiti u roku od 3 mjeseca")</f>
        <v>18.10.2012.
izvršiti u roku od 3 mjeseca</v>
      </c>
      <c r="H475" s="1" t="str">
        <f>CONCATENATE("ELICOM D.O.O., ZAGREB")</f>
        <v>ELICOM D.O.O., ZAGREB</v>
      </c>
      <c r="I475" s="1" t="s">
        <v>264</v>
      </c>
      <c r="J475" s="1" t="str">
        <f>SUBSTITUTE(SUBSTITUTE(SUBSTITUTE("4,729,387.00",".","-"),",","."),"-",",")</f>
        <v>4.729.387,00</v>
      </c>
      <c r="K475" s="2"/>
    </row>
    <row r="476" spans="1:11" ht="47.25" x14ac:dyDescent="0.25">
      <c r="A476" s="1" t="str">
        <f>"457/2012"</f>
        <v>457/2012</v>
      </c>
      <c r="B476" s="1" t="s">
        <v>14</v>
      </c>
      <c r="C476" s="1" t="s">
        <v>1826</v>
      </c>
      <c r="D476" s="1" t="str">
        <f>CONCATENATE("2006-2012-EMV",CHAR(10),"2012/S 015-0068155 od 09.10.2012.")</f>
        <v>2006-2012-EMV
2012/S 015-0068155 od 09.10.2012.</v>
      </c>
      <c r="E476" s="1" t="s">
        <v>12</v>
      </c>
      <c r="F476" s="1" t="str">
        <f>"615.738,43"</f>
        <v>615.738,43</v>
      </c>
      <c r="G476" s="1" t="str">
        <f>CONCATENATE("19.10.2012.",CHAR(10),"u roku od 60 dana, računajući od dana uvođenja u posao")</f>
        <v>19.10.2012.
u roku od 60 dana, računajući od dana uvođenja u posao</v>
      </c>
      <c r="H476" s="1" t="str">
        <f>CONCATENATE("BAJKMONT D.O.O., SESVETE")</f>
        <v>BAJKMONT D.O.O., SESVETE</v>
      </c>
      <c r="I476" s="2"/>
      <c r="J476" s="1"/>
      <c r="K476" s="2"/>
    </row>
    <row r="477" spans="1:11" ht="47.25" x14ac:dyDescent="0.25">
      <c r="A477" s="1" t="str">
        <f>"458/2012"</f>
        <v>458/2012</v>
      </c>
      <c r="B477" s="1" t="s">
        <v>14</v>
      </c>
      <c r="C477" s="1" t="s">
        <v>1827</v>
      </c>
      <c r="D477" s="1" t="str">
        <f>CONCATENATE("1112-2012-EMV",CHAR(10),"2012/S 002-0038531 od 09.07.2012.")</f>
        <v>1112-2012-EMV
2012/S 002-0038531 od 09.07.2012.</v>
      </c>
      <c r="E477" s="1" t="s">
        <v>15</v>
      </c>
      <c r="F477" s="1" t="str">
        <f>"552.354,00"</f>
        <v>552.354,00</v>
      </c>
      <c r="G477" s="1" t="str">
        <f>CONCATENATE("19.10.2012.",CHAR(10),"u roku od 90 dana, računajući od dana uvođenja u posao")</f>
        <v>19.10.2012.
u roku od 90 dana, računajući od dana uvođenja u posao</v>
      </c>
      <c r="H477" s="1" t="str">
        <f>CONCATENATE("TERMORAD D.O.O., ZAGREB")</f>
        <v>TERMORAD D.O.O., ZAGREB</v>
      </c>
      <c r="I477" s="1" t="s">
        <v>265</v>
      </c>
      <c r="J477" s="1" t="str">
        <f>SUBSTITUTE(SUBSTITUTE(SUBSTITUTE("690,442.50",".","-"),",","."),"-",",")</f>
        <v>690.442,50</v>
      </c>
      <c r="K477" s="2"/>
    </row>
    <row r="478" spans="1:11" ht="63" x14ac:dyDescent="0.25">
      <c r="A478" s="1" t="str">
        <f>"459/2012"</f>
        <v>459/2012</v>
      </c>
      <c r="B478" s="1" t="s">
        <v>14</v>
      </c>
      <c r="C478" s="1" t="s">
        <v>1828</v>
      </c>
      <c r="D478" s="1" t="str">
        <f>CONCATENATE("425-2012-EMV",CHAR(10),"2012/S 002-0047952 od 03.08.2012.")</f>
        <v>425-2012-EMV
2012/S 002-0047952 od 03.08.2012.</v>
      </c>
      <c r="E478" s="1" t="s">
        <v>15</v>
      </c>
      <c r="F478" s="1" t="str">
        <f>"188.913,00"</f>
        <v>188.913,00</v>
      </c>
      <c r="G478" s="1" t="str">
        <f>CONCATENATE("22.10.2012.",CHAR(10),"isporučiti u roku od 1 mjeseca od dana obostranog potpisa Ugovora")</f>
        <v>22.10.2012.
isporučiti u roku od 1 mjeseca od dana obostranog potpisa Ugovora</v>
      </c>
      <c r="H478" s="1" t="str">
        <f>CONCATENATE("GREGIĆ PROMET D.O.O., ZAGREB")</f>
        <v>GREGIĆ PROMET D.O.O., ZAGREB</v>
      </c>
      <c r="I478" s="1" t="s">
        <v>216</v>
      </c>
      <c r="J478" s="1" t="str">
        <f>SUBSTITUTE(SUBSTITUTE(SUBSTITUTE("236,141.25",".","-"),",","."),"-",",")</f>
        <v>236.141,25</v>
      </c>
      <c r="K478" s="2"/>
    </row>
    <row r="479" spans="1:11" ht="47.25" x14ac:dyDescent="0.25">
      <c r="A479" s="1" t="str">
        <f>"460/2012"</f>
        <v>460/2012</v>
      </c>
      <c r="B479" s="1" t="s">
        <v>14</v>
      </c>
      <c r="C479" s="1" t="s">
        <v>1829</v>
      </c>
      <c r="D479" s="1" t="str">
        <f>CONCATENATE("2109-2012-EMV",CHAR(10),"2012/S 002-0036469 od 03.07.2012.")</f>
        <v>2109-2012-EMV
2012/S 002-0036469 od 03.07.2012.</v>
      </c>
      <c r="E479" s="1" t="s">
        <v>15</v>
      </c>
      <c r="F479" s="1" t="str">
        <f>"1.087.336,00"</f>
        <v>1.087.336,00</v>
      </c>
      <c r="G479" s="1" t="str">
        <f>CONCATENATE("22.10.2012.",CHAR(10),"u roku od 30 dana od dana obostranog potpisa Ugovora")</f>
        <v>22.10.2012.
u roku od 30 dana od dana obostranog potpisa Ugovora</v>
      </c>
      <c r="H479" s="1" t="str">
        <f>CONCATENATE("IDA DIDACTA D.O.O., ZAGREB")</f>
        <v>IDA DIDACTA D.O.O., ZAGREB</v>
      </c>
      <c r="I479" s="1" t="s">
        <v>21</v>
      </c>
      <c r="J479" s="1" t="str">
        <f>SUBSTITUTE(SUBSTITUTE(SUBSTITUTE("1,359,132.50",".","-"),",","."),"-",",")</f>
        <v>1.359.132,50</v>
      </c>
      <c r="K479" s="2"/>
    </row>
    <row r="480" spans="1:11" ht="47.25" x14ac:dyDescent="0.25">
      <c r="A480" s="1" t="str">
        <f>"461/2012"</f>
        <v>461/2012</v>
      </c>
      <c r="B480" s="1" t="s">
        <v>14</v>
      </c>
      <c r="C480" s="1" t="s">
        <v>1830</v>
      </c>
      <c r="D480" s="1" t="str">
        <f>CONCATENATE("732-2012-EMV",CHAR(10),"2012/S 002-0042360 od 19.07.2012.")</f>
        <v>732-2012-EMV
2012/S 002-0042360 od 19.07.2012.</v>
      </c>
      <c r="E480" s="1" t="s">
        <v>15</v>
      </c>
      <c r="F480" s="1" t="str">
        <f>"234.000,00"</f>
        <v>234.000,00</v>
      </c>
      <c r="G480" s="1" t="str">
        <f>CONCATENATE("22.10.2012.",CHAR(10),"18 mjeseci od dana uvođenja u posao")</f>
        <v>22.10.2012.
18 mjeseci od dana uvođenja u posao</v>
      </c>
      <c r="H480" s="1" t="str">
        <f>CONCATENATE("CAPITAL ING D.O.O., ZAGREB",CHAR(10),"MHM-PROJEKT D.O.O., ZAGREB",CHAR(10),"ELARH PROJEKT D.O.O., ZAGREB")</f>
        <v>CAPITAL ING D.O.O., ZAGREB
MHM-PROJEKT D.O.O., ZAGREB
ELARH PROJEKT D.O.O., ZAGREB</v>
      </c>
      <c r="I480" s="2"/>
      <c r="J480" s="1"/>
      <c r="K480" s="2"/>
    </row>
    <row r="481" spans="1:11" ht="47.25" x14ac:dyDescent="0.25">
      <c r="A481" s="1" t="str">
        <f>"462/2012"</f>
        <v>462/2012</v>
      </c>
      <c r="B481" s="1" t="s">
        <v>14</v>
      </c>
      <c r="C481" s="1" t="s">
        <v>1831</v>
      </c>
      <c r="D481" s="1" t="str">
        <f>CONCATENATE("427-2012-EMV",CHAR(10),"2012/S 002-0048435 od 06.08.2012.")</f>
        <v>427-2012-EMV
2012/S 002-0048435 od 06.08.2012.</v>
      </c>
      <c r="E481" s="1" t="s">
        <v>15</v>
      </c>
      <c r="F481" s="1" t="str">
        <f>"191.220,00"</f>
        <v>191.220,00</v>
      </c>
      <c r="G481" s="1" t="str">
        <f>CONCATENATE("22.10.2012.",CHAR(10),"u roku 1 mjeseca od dana obostramog potpisa Ugovora")</f>
        <v>22.10.2012.
u roku 1 mjeseca od dana obostramog potpisa Ugovora</v>
      </c>
      <c r="H481" s="1" t="str">
        <f>CONCATENATE("PROKLIMA-TIM D.O.O., ZAGREB")</f>
        <v>PROKLIMA-TIM D.O.O., ZAGREB</v>
      </c>
      <c r="I481" s="1" t="s">
        <v>53</v>
      </c>
      <c r="J481" s="1" t="str">
        <f>SUBSTITUTE(SUBSTITUTE(SUBSTITUTE("239,025.00",".","-"),",","."),"-",",")</f>
        <v>239.025,00</v>
      </c>
      <c r="K481" s="2"/>
    </row>
    <row r="482" spans="1:11" ht="47.25" x14ac:dyDescent="0.25">
      <c r="A482" s="1" t="str">
        <f>"463/2012"</f>
        <v>463/2012</v>
      </c>
      <c r="B482" s="1" t="s">
        <v>14</v>
      </c>
      <c r="C482" s="1" t="s">
        <v>1832</v>
      </c>
      <c r="D482" s="1" t="str">
        <f>CONCATENATE("1928-2012-EMV",CHAR(10),"2012/S 002-0048593 od 06.08.2012.")</f>
        <v>1928-2012-EMV
2012/S 002-0048593 od 06.08.2012.</v>
      </c>
      <c r="E482" s="1" t="s">
        <v>15</v>
      </c>
      <c r="F482" s="1" t="str">
        <f>"102.741,40"</f>
        <v>102.741,40</v>
      </c>
      <c r="G482" s="1" t="str">
        <f>CONCATENATE("23.10.2012.",CHAR(10),"u roku od 1 mjeseca od dana uvođenja u posao")</f>
        <v>23.10.2012.
u roku od 1 mjeseca od dana uvođenja u posao</v>
      </c>
      <c r="H482" s="1" t="str">
        <f>CONCATENATE("SPEKTAR GRADNJA D.O.O., ZAGREB")</f>
        <v>SPEKTAR GRADNJA D.O.O., ZAGREB</v>
      </c>
      <c r="I482" s="1" t="s">
        <v>266</v>
      </c>
      <c r="J482" s="1" t="str">
        <f>SUBSTITUTE(SUBSTITUTE(SUBSTITUTE("128,414.10",".","-"),",","."),"-",",")</f>
        <v>128.414,10</v>
      </c>
      <c r="K482" s="2"/>
    </row>
    <row r="483" spans="1:11" ht="63" x14ac:dyDescent="0.25">
      <c r="A483" s="1" t="str">
        <f>"464/2012"</f>
        <v>464/2012</v>
      </c>
      <c r="B483" s="1" t="s">
        <v>14</v>
      </c>
      <c r="C483" s="1" t="s">
        <v>1833</v>
      </c>
      <c r="D483" s="1" t="str">
        <f>CONCATENATE("837-2012-EMV",CHAR(10),"2012/S 002-0028400 od 08.06.2012.")</f>
        <v>837-2012-EMV
2012/S 002-0028400 od 08.06.2012.</v>
      </c>
      <c r="E483" s="1" t="s">
        <v>15</v>
      </c>
      <c r="F483" s="1" t="str">
        <f>"65.000,00"</f>
        <v>65.000,00</v>
      </c>
      <c r="G483" s="1" t="str">
        <f>CONCATENATE("23.10.2012.",CHAR(10),"u roku 1 mjeseca, računajući od dana obostranog potpisa Ugovora")</f>
        <v>23.10.2012.
u roku 1 mjeseca, računajući od dana obostranog potpisa Ugovora</v>
      </c>
      <c r="H483" s="1" t="str">
        <f>CONCATENATE("PROMETIS D.O.O., ZAGREB",CHAR(10),"VV-ELEKTROPROJEKT D.O.O., ZAGREB")</f>
        <v>PROMETIS D.O.O., ZAGREB
VV-ELEKTROPROJEKT D.O.O., ZAGREB</v>
      </c>
      <c r="I483" s="2"/>
      <c r="J483" s="1"/>
      <c r="K483" s="2"/>
    </row>
    <row r="484" spans="1:11" ht="47.25" x14ac:dyDescent="0.25">
      <c r="A484" s="1" t="str">
        <f>"A-14/2012"</f>
        <v>A-14/2012</v>
      </c>
      <c r="B484" s="1" t="s">
        <v>11</v>
      </c>
      <c r="C484" s="1" t="s">
        <v>1834</v>
      </c>
      <c r="D484" s="1" t="str">
        <f>"EV-333-013/2011"</f>
        <v>EV-333-013/2011</v>
      </c>
      <c r="E484" s="2"/>
      <c r="F484" s="1" t="str">
        <f>"0,00"</f>
        <v>0,00</v>
      </c>
      <c r="G484" s="1" t="str">
        <f>CONCATENATE("23.10.2012.",CHAR(10),"do sklapanja novog ugovora")</f>
        <v>23.10.2012.
do sklapanja novog ugovora</v>
      </c>
      <c r="H484" s="1" t="str">
        <f>CONCATENATE("ELEKTROCENTAR PETEK D.O.O., IVANIĆ-GRAD")</f>
        <v>ELEKTROCENTAR PETEK D.O.O., IVANIĆ-GRAD</v>
      </c>
      <c r="I484" s="2"/>
      <c r="J484" s="1"/>
      <c r="K484" s="2"/>
    </row>
    <row r="485" spans="1:11" ht="63" x14ac:dyDescent="0.25">
      <c r="A485" s="1" t="str">
        <f>"465/2012"</f>
        <v>465/2012</v>
      </c>
      <c r="B485" s="1" t="s">
        <v>14</v>
      </c>
      <c r="C485" s="1" t="s">
        <v>1835</v>
      </c>
      <c r="D485" s="1" t="str">
        <f>CONCATENATE("2729-2012-EMV",CHAR(10),"2012/S 002-0051338 od 16.08.2012.")</f>
        <v>2729-2012-EMV
2012/S 002-0051338 od 16.08.2012.</v>
      </c>
      <c r="E485" s="1" t="s">
        <v>15</v>
      </c>
      <c r="F485" s="1" t="str">
        <f>"70.966,00"</f>
        <v>70.966,00</v>
      </c>
      <c r="G485" s="1" t="str">
        <f>CONCATENATE("24.10.2012.",CHAR(10),"do konzumiranja ugovorene količine robe, a najduže 6 mjeseci")</f>
        <v>24.10.2012.
do konzumiranja ugovorene količine robe, a najduže 6 mjeseci</v>
      </c>
      <c r="H485" s="1" t="str">
        <f>CONCATENATE("URIHO - USTANOVA ZA PROFESIONALNU REHABILITACIJU I ZAPOŠLJAVANJE OSOBA S INVALIDITETOM, ZAGREB")</f>
        <v>URIHO - USTANOVA ZA PROFESIONALNU REHABILITACIJU I ZAPOŠLJAVANJE OSOBA S INVALIDITETOM, ZAGREB</v>
      </c>
      <c r="I485" s="1" t="s">
        <v>267</v>
      </c>
      <c r="J485" s="1" t="str">
        <f>SUBSTITUTE(SUBSTITUTE(SUBSTITUTE("83,547.50",".","-"),",","."),"-",",")</f>
        <v>83.547,50</v>
      </c>
      <c r="K485" s="2"/>
    </row>
    <row r="486" spans="1:11" ht="78.75" x14ac:dyDescent="0.25">
      <c r="A486" s="1" t="str">
        <f>"466/2012"</f>
        <v>466/2012</v>
      </c>
      <c r="B486" s="1" t="s">
        <v>14</v>
      </c>
      <c r="C486" s="1" t="s">
        <v>1836</v>
      </c>
      <c r="D486" s="1" t="str">
        <f>CONCATENATE("1886-2012-EMV",CHAR(10),"2012/S-002-0045143 od 27.07.2012.")</f>
        <v>1886-2012-EMV
2012/S-002-0045143 od 27.07.2012.</v>
      </c>
      <c r="E486" s="1" t="s">
        <v>15</v>
      </c>
      <c r="F486" s="1" t="str">
        <f>"84.500,00"</f>
        <v>84.500,00</v>
      </c>
      <c r="G486" s="1" t="str">
        <f>CONCATENATE("24.10.2012.",CHAR(10),"180 dana, računajući od dana obostranog potpisa Ugovora")</f>
        <v>24.10.2012.
180 dana, računajući od dana obostranog potpisa Ugovora</v>
      </c>
      <c r="H486" s="1" t="str">
        <f>CONCATENATE("INŽENJERSKI PROJEKTNI ZAVOD D.D., ZAGREB",CHAR(10),"GEO-BIM D.O.O., SAMOBOR")</f>
        <v>INŽENJERSKI PROJEKTNI ZAVOD D.D., ZAGREB
GEO-BIM D.O.O., SAMOBOR</v>
      </c>
      <c r="I486" s="2"/>
      <c r="J486" s="1"/>
      <c r="K486" s="2"/>
    </row>
    <row r="487" spans="1:11" ht="78.75" x14ac:dyDescent="0.25">
      <c r="A487" s="1" t="str">
        <f>"467/2012"</f>
        <v>467/2012</v>
      </c>
      <c r="B487" s="1" t="s">
        <v>14</v>
      </c>
      <c r="C487" s="1" t="s">
        <v>1837</v>
      </c>
      <c r="D487" s="1" t="str">
        <f>CONCATENATE("1990-2012-EMV",CHAR(10),"2012/S-002-0044906 od 27.07.2012.")</f>
        <v>1990-2012-EMV
2012/S-002-0044906 od 27.07.2012.</v>
      </c>
      <c r="E487" s="1" t="s">
        <v>15</v>
      </c>
      <c r="F487" s="1" t="str">
        <f>"60.000,00"</f>
        <v>60.000,00</v>
      </c>
      <c r="G487" s="1" t="str">
        <f>CONCATENATE("25.10.2012.",CHAR(10),"u roku od 180 dana, računajući od dana obostranog potpisa Ugovora")</f>
        <v>25.10.2012.
u roku od 180 dana, računajući od dana obostranog potpisa Ugovora</v>
      </c>
      <c r="H487" s="1" t="str">
        <f>CONCATENATE("EKO-PLAN D.O.O., ZAGREB",CHAR(10),"GEOPROJEKT D.O.O., ZAGREB",CHAR(10),"KOPIMA D.O.O, ZAGREB")</f>
        <v>EKO-PLAN D.O.O., ZAGREB
GEOPROJEKT D.O.O., ZAGREB
KOPIMA D.O.O, ZAGREB</v>
      </c>
      <c r="I487" s="2"/>
      <c r="J487" s="1"/>
      <c r="K487" s="2"/>
    </row>
    <row r="488" spans="1:11" ht="78.75" x14ac:dyDescent="0.25">
      <c r="A488" s="1" t="str">
        <f>"468/2012"</f>
        <v>468/2012</v>
      </c>
      <c r="B488" s="1" t="s">
        <v>14</v>
      </c>
      <c r="C488" s="1" t="s">
        <v>1838</v>
      </c>
      <c r="D488" s="1" t="str">
        <f>CONCATENATE("1981-2012-EMV",CHAR(10),"2012/S 002-0048903 od 07.08.2012.")</f>
        <v>1981-2012-EMV
2012/S 002-0048903 od 07.08.2012.</v>
      </c>
      <c r="E488" s="1" t="s">
        <v>15</v>
      </c>
      <c r="F488" s="1" t="str">
        <f>"39.000,00"</f>
        <v>39.000,00</v>
      </c>
      <c r="G488" s="1" t="str">
        <f>CONCATENATE("25.10.2012.",CHAR(10),"u roku od 180 dana, računajući od dana obostranog potpisa Ugovora")</f>
        <v>25.10.2012.
u roku od 180 dana, računajući od dana obostranog potpisa Ugovora</v>
      </c>
      <c r="H488" s="1" t="str">
        <f>CONCATENATE("EKO-PLAN D.O.O., ZAGREB",CHAR(10),"GEOPROJEKT D.O.O., ZAGREB",CHAR(10),"KOPIMA D.O.O, ZAGREB")</f>
        <v>EKO-PLAN D.O.O., ZAGREB
GEOPROJEKT D.O.O., ZAGREB
KOPIMA D.O.O, ZAGREB</v>
      </c>
      <c r="I488" s="2"/>
      <c r="J488" s="1"/>
      <c r="K488" s="2"/>
    </row>
    <row r="489" spans="1:11" ht="94.5" x14ac:dyDescent="0.25">
      <c r="A489" s="1" t="str">
        <f>"469/2012"</f>
        <v>469/2012</v>
      </c>
      <c r="B489" s="1" t="s">
        <v>14</v>
      </c>
      <c r="C489" s="1" t="s">
        <v>1839</v>
      </c>
      <c r="D489" s="1" t="str">
        <f>CONCATENATE("1966-2012-EMV",CHAR(10),"2012/S 002-0043069 od 20.07.2012.")</f>
        <v>1966-2012-EMV
2012/S 002-0043069 od 20.07.2012.</v>
      </c>
      <c r="E489" s="1" t="s">
        <v>15</v>
      </c>
      <c r="F489" s="1" t="str">
        <f>"94.500,00"</f>
        <v>94.500,00</v>
      </c>
      <c r="G489" s="1" t="str">
        <f>CONCATENATE("25.10.2012.",CHAR(10),"u roku od 180 dana od dana obstranog potpisa Ugovora")</f>
        <v>25.10.2012.
u roku od 180 dana od dana obstranog potpisa Ugovora</v>
      </c>
      <c r="H489" s="1" t="str">
        <f>CONCATENATE("EKO-PLAN D.O.O., ZAGREB",CHAR(10),"GEOPROJEKT D.O.O., ZAGREB",CHAR(10),"KOPIMA D.O.O, ZAGREB")</f>
        <v>EKO-PLAN D.O.O., ZAGREB
GEOPROJEKT D.O.O., ZAGREB
KOPIMA D.O.O, ZAGREB</v>
      </c>
      <c r="I489" s="2"/>
      <c r="J489" s="1"/>
      <c r="K489" s="2"/>
    </row>
    <row r="490" spans="1:11" ht="63" x14ac:dyDescent="0.25">
      <c r="A490" s="1" t="str">
        <f>"470/2012"</f>
        <v>470/2012</v>
      </c>
      <c r="B490" s="1" t="s">
        <v>14</v>
      </c>
      <c r="C490" s="1" t="s">
        <v>1840</v>
      </c>
      <c r="D490" s="1" t="str">
        <f>CONCATENATE("1983-2012-EMV",CHAR(10),"2012/S 002-0048591 od 07.08.2012.")</f>
        <v>1983-2012-EMV
2012/S 002-0048591 od 07.08.2012.</v>
      </c>
      <c r="E490" s="1" t="s">
        <v>15</v>
      </c>
      <c r="F490" s="1" t="str">
        <f>"23.900,00"</f>
        <v>23.900,00</v>
      </c>
      <c r="G490" s="1" t="str">
        <f>CONCATENATE("25.10.2012.",CHAR(10),"u roku od 180 dana od dana obostranog potpisa Ugovora")</f>
        <v>25.10.2012.
u roku od 180 dana od dana obostranog potpisa Ugovora</v>
      </c>
      <c r="H490" s="1" t="str">
        <f>CONCATENATE("EKO-PLAN D.O.O., ZAGREB",CHAR(10),"GEOPROJEKT D.O.O., ZAGREB",CHAR(10),"KOPIMA D.O.O, ZAGREB")</f>
        <v>EKO-PLAN D.O.O., ZAGREB
GEOPROJEKT D.O.O., ZAGREB
KOPIMA D.O.O, ZAGREB</v>
      </c>
      <c r="I490" s="2"/>
      <c r="J490" s="1"/>
      <c r="K490" s="2"/>
    </row>
    <row r="491" spans="1:11" ht="63" x14ac:dyDescent="0.25">
      <c r="A491" s="1" t="str">
        <f>"471/2012"</f>
        <v>471/2012</v>
      </c>
      <c r="B491" s="1" t="s">
        <v>14</v>
      </c>
      <c r="C491" s="1" t="s">
        <v>1841</v>
      </c>
      <c r="D491" s="1" t="str">
        <f>CONCATENATE("1905-2012-EMV",CHAR(10),"2012/S 002-0044276 od 24.07.2012.")</f>
        <v>1905-2012-EMV
2012/S 002-0044276 od 24.07.2012.</v>
      </c>
      <c r="E491" s="1" t="s">
        <v>15</v>
      </c>
      <c r="F491" s="1" t="str">
        <f>"56.000,00"</f>
        <v>56.000,00</v>
      </c>
      <c r="G491" s="1" t="str">
        <f>CONCATENATE("25.10.2012.",CHAR(10),"u roku od 6 mjeseci, računajući od dana obostranog potpisa Ugovora")</f>
        <v>25.10.2012.
u roku od 6 mjeseci, računajući od dana obostranog potpisa Ugovora</v>
      </c>
      <c r="H491" s="1" t="str">
        <f>CONCATENATE("EKO-PLAN D.O.O., ZAGREB",CHAR(10),"GEOPROJEKT D.O.O., ZAGREB",CHAR(10),"KOPIMA D.O.O, ZAGREB")</f>
        <v>EKO-PLAN D.O.O., ZAGREB
GEOPROJEKT D.O.O., ZAGREB
KOPIMA D.O.O, ZAGREB</v>
      </c>
      <c r="I491" s="2"/>
      <c r="J491" s="1"/>
      <c r="K491" s="2"/>
    </row>
    <row r="492" spans="1:11" ht="63" x14ac:dyDescent="0.25">
      <c r="A492" s="1" t="str">
        <f>"472/2012"</f>
        <v>472/2012</v>
      </c>
      <c r="B492" s="1" t="s">
        <v>14</v>
      </c>
      <c r="C492" s="1" t="s">
        <v>1842</v>
      </c>
      <c r="D492" s="1" t="str">
        <f>CONCATENATE("12-2012-EMV",CHAR(10),"2013/S 015-0074216 od 02.09.2013.")</f>
        <v>12-2012-EMV
2013/S 015-0074216 od 02.09.2013.</v>
      </c>
      <c r="E492" s="1" t="s">
        <v>40</v>
      </c>
      <c r="F492" s="1" t="str">
        <f>"26.300,82"</f>
        <v>26.300,82</v>
      </c>
      <c r="G492" s="1" t="str">
        <f>CONCATENATE("25.10.2012.",CHAR(10),"izvršavati do konačnog izvršenja usluge od dana obostranog potpisa Ugovora")</f>
        <v>25.10.2012.
izvršavati do konačnog izvršenja usluge od dana obostranog potpisa Ugovora</v>
      </c>
      <c r="H492" s="1" t="str">
        <f>CONCATENATE("ZAVOD ZA HITNU MEDICINSKU POMOĆ ZAGREB, ZAGREB")</f>
        <v>ZAVOD ZA HITNU MEDICINSKU POMOĆ ZAGREB, ZAGREB</v>
      </c>
      <c r="I492" s="1" t="s">
        <v>268</v>
      </c>
      <c r="J492" s="1" t="str">
        <f>SUBSTITUTE(SUBSTITUTE(SUBSTITUTE("15,310.80",".","-"),",","."),"-",",")</f>
        <v>15.310,80</v>
      </c>
      <c r="K492" s="2"/>
    </row>
    <row r="493" spans="1:11" ht="47.25" x14ac:dyDescent="0.25">
      <c r="A493" s="1" t="str">
        <f>"473/2012"</f>
        <v>473/2012</v>
      </c>
      <c r="B493" s="1" t="s">
        <v>14</v>
      </c>
      <c r="C493" s="1" t="s">
        <v>1843</v>
      </c>
      <c r="D493" s="1" t="str">
        <f>CONCATENATE("2633-2012-EMV",CHAR(10),"2012/S 002-0050145 od 10.08.2012.")</f>
        <v>2633-2012-EMV
2012/S 002-0050145 od 10.08.2012.</v>
      </c>
      <c r="E493" s="1" t="s">
        <v>15</v>
      </c>
      <c r="F493" s="1" t="str">
        <f>"630.300,00"</f>
        <v>630.300,00</v>
      </c>
      <c r="G493" s="1" t="str">
        <f>CONCATENATE("26.10.2012.",CHAR(10),"u roku 45 dana računajući od dan uvođenja u posao")</f>
        <v>26.10.2012.
u roku 45 dana računajući od dan uvođenja u posao</v>
      </c>
      <c r="H493" s="1" t="str">
        <f>CONCATENATE("GIP PIONIR D.O.O., ZAGREB",CHAR(10),"MGV D.O.O., ZAGREB")</f>
        <v>GIP PIONIR D.O.O., ZAGREB
MGV D.O.O., ZAGREB</v>
      </c>
      <c r="I493" s="1" t="s">
        <v>137</v>
      </c>
      <c r="J493" s="1" t="str">
        <f>SUBSTITUTE(SUBSTITUTE(SUBSTITUTE("781,612.84",".","-"),",","."),"-",",")</f>
        <v>781.612,84</v>
      </c>
      <c r="K493" s="2"/>
    </row>
    <row r="494" spans="1:11" ht="63" x14ac:dyDescent="0.25">
      <c r="A494" s="1" t="str">
        <f>"A-15/2012"</f>
        <v>A-15/2012</v>
      </c>
      <c r="B494" s="1" t="s">
        <v>11</v>
      </c>
      <c r="C494" s="1" t="s">
        <v>1844</v>
      </c>
      <c r="D494" s="1" t="str">
        <f>"2110-2012-EMV"</f>
        <v>2110-2012-EMV</v>
      </c>
      <c r="E494" s="2"/>
      <c r="F494" s="1" t="str">
        <f>"0,00"</f>
        <v>0,00</v>
      </c>
      <c r="G494" s="1" t="str">
        <f>CONCATENATE("29.10.2012.",CHAR(10),"dobavljač se obvezuje isporučiti u roku od 75 dana od dana obostranog potpisa Ugovora")</f>
        <v>29.10.2012.
dobavljač se obvezuje isporučiti u roku od 75 dana od dana obostranog potpisa Ugovora</v>
      </c>
      <c r="H494" s="1" t="str">
        <f>CONCATENATE("SLIV OPREMA D.O.O., ZAGREB")</f>
        <v>SLIV OPREMA D.O.O., ZAGREB</v>
      </c>
      <c r="I494" s="2"/>
      <c r="J494" s="1"/>
      <c r="K494" s="2"/>
    </row>
    <row r="495" spans="1:11" ht="63" x14ac:dyDescent="0.25">
      <c r="A495" s="1" t="str">
        <f>"474/2012"</f>
        <v>474/2012</v>
      </c>
      <c r="B495" s="1" t="s">
        <v>14</v>
      </c>
      <c r="C495" s="1" t="s">
        <v>1845</v>
      </c>
      <c r="D495" s="1" t="str">
        <f>CONCATENATE("764-2012-EMV",CHAR(10),"2012/S-002-0041547 od 17.07.2012.")</f>
        <v>764-2012-EMV
2012/S-002-0041547 od 17.07.2012.</v>
      </c>
      <c r="E495" s="1" t="s">
        <v>15</v>
      </c>
      <c r="F495" s="1" t="str">
        <f>"1.245.867,00"</f>
        <v>1.245.867,00</v>
      </c>
      <c r="G495" s="1" t="str">
        <f>CONCATENATE("30.10.2012.",CHAR(10),"u roku od 5 mjeseci računajući od dana uvođenja u posao")</f>
        <v>30.10.2012.
u roku od 5 mjeseci računajući od dana uvođenja u posao</v>
      </c>
      <c r="H495" s="1" t="str">
        <f>CONCATENATE("GRADNJAPROJEKT- ZAGREB D.O.O., ZAGREB",CHAR(10),"LJEVAONICA UMJETNINA ALU D.O.O., ZAGREB")</f>
        <v>GRADNJAPROJEKT- ZAGREB D.O.O., ZAGREB
LJEVAONICA UMJETNINA ALU D.O.O., ZAGREB</v>
      </c>
      <c r="I495" s="1" t="s">
        <v>269</v>
      </c>
      <c r="J495" s="1" t="str">
        <f>SUBSTITUTE(SUBSTITUTE(SUBSTITUTE("1,557,313.04",".","-"),",","."),"-",",")</f>
        <v>1.557.313,04</v>
      </c>
      <c r="K495" s="2"/>
    </row>
    <row r="496" spans="1:11" ht="47.25" x14ac:dyDescent="0.25">
      <c r="A496" s="1" t="str">
        <f>"475/2012"</f>
        <v>475/2012</v>
      </c>
      <c r="B496" s="1" t="s">
        <v>14</v>
      </c>
      <c r="C496" s="1" t="s">
        <v>1846</v>
      </c>
      <c r="D496" s="1" t="str">
        <f>CONCATENATE("1977-2012-EMV",CHAR(10),"2012/S 002-0048850 od 07.08.2012.")</f>
        <v>1977-2012-EMV
2012/S 002-0048850 od 07.08.2012.</v>
      </c>
      <c r="E496" s="1" t="s">
        <v>15</v>
      </c>
      <c r="F496" s="1" t="str">
        <f>"74.380,00"</f>
        <v>74.380,00</v>
      </c>
      <c r="G496" s="1" t="str">
        <f>CONCATENATE("30.10.2012.",CHAR(10),"u roku od 1 mjeseca od dana obostranog potpisa Ugovora")</f>
        <v>30.10.2012.
u roku od 1 mjeseca od dana obostranog potpisa Ugovora</v>
      </c>
      <c r="H496" s="1" t="str">
        <f>CONCATENATE("JEDINSTVO D.D., KRAPINA")</f>
        <v>JEDINSTVO D.D., KRAPINA</v>
      </c>
      <c r="I496" s="1" t="s">
        <v>237</v>
      </c>
      <c r="J496" s="1" t="str">
        <f>SUBSTITUTE(SUBSTITUTE(SUBSTITUTE("92,975.00",".","-"),",","."),"-",",")</f>
        <v>92.975,00</v>
      </c>
      <c r="K496" s="2"/>
    </row>
    <row r="497" spans="1:11" ht="47.25" x14ac:dyDescent="0.25">
      <c r="A497" s="1" t="str">
        <f>"476/2012"</f>
        <v>476/2012</v>
      </c>
      <c r="B497" s="1" t="s">
        <v>14</v>
      </c>
      <c r="C497" s="1" t="s">
        <v>1847</v>
      </c>
      <c r="D497" s="1" t="str">
        <f>CONCATENATE("1879-2012-EMV",CHAR(10),"2012/S 002-0048116 od 03.08.2012.")</f>
        <v>1879-2012-EMV
2012/S 002-0048116 od 03.08.2012.</v>
      </c>
      <c r="E497" s="1" t="s">
        <v>15</v>
      </c>
      <c r="F497" s="1" t="str">
        <f>"2.097.260,27"</f>
        <v>2.097.260,27</v>
      </c>
      <c r="G497" s="1" t="str">
        <f>CONCATENATE("30.10.2012.",CHAR(10),"u roku od 3 mjeseca, računajući od dana uvođenja u posao")</f>
        <v>30.10.2012.
u roku od 3 mjeseca, računajući od dana uvođenja u posao</v>
      </c>
      <c r="H497" s="1" t="str">
        <f>CONCATENATE("GEORAD D.O.O., ZAGREB",CHAR(10),"GEODIST D.O.O., ZAGREB")</f>
        <v>GEORAD D.O.O., ZAGREB
GEODIST D.O.O., ZAGREB</v>
      </c>
      <c r="I497" s="1" t="s">
        <v>23</v>
      </c>
      <c r="J497" s="1" t="str">
        <f>SUBSTITUTE(SUBSTITUTE(SUBSTITUTE("2,621,575.34",".","-"),",","."),"-",",")</f>
        <v>2.621.575,34</v>
      </c>
      <c r="K497" s="2"/>
    </row>
    <row r="498" spans="1:11" ht="78.75" x14ac:dyDescent="0.25">
      <c r="A498" s="1" t="str">
        <f>"477/2012"</f>
        <v>477/2012</v>
      </c>
      <c r="B498" s="1" t="s">
        <v>136</v>
      </c>
      <c r="C498" s="1" t="s">
        <v>1848</v>
      </c>
      <c r="D498" s="1" t="str">
        <f>CONCATENATE("135-2012-EVV",CHAR(10),"2012/S 002-0048420 od 06.08.2012.")</f>
        <v>135-2012-EVV
2012/S 002-0048420 od 06.08.2012.</v>
      </c>
      <c r="E498" s="1" t="s">
        <v>97</v>
      </c>
      <c r="F498" s="1" t="str">
        <f>"1.570.112,72"</f>
        <v>1.570.112,72</v>
      </c>
      <c r="G498" s="1" t="str">
        <f>CONCATENATE("31.10.2012.",CHAR(10),"na razdoblje od 2 godine i predviđa se sklapanje dva ugovora o javnoj nabavi")</f>
        <v>31.10.2012.
na razdoblje od 2 godine i predviđa se sklapanje dva ugovora o javnoj nabavi</v>
      </c>
      <c r="H498" s="1" t="str">
        <f>CONCATENATE("RETEL D.O.O., ZAGREB")</f>
        <v>RETEL D.O.O., ZAGREB</v>
      </c>
      <c r="I498" s="1" t="s">
        <v>270</v>
      </c>
      <c r="J498" s="1" t="str">
        <f>SUBSTITUTE(SUBSTITUTE(SUBSTITUTE("1,867,668.23",".","-"),",","."),"-",",")</f>
        <v>1.867.668,23</v>
      </c>
      <c r="K498" s="2"/>
    </row>
    <row r="499" spans="1:11" ht="47.25" x14ac:dyDescent="0.25">
      <c r="A499" s="1" t="str">
        <f>"478/2012"</f>
        <v>478/2012</v>
      </c>
      <c r="B499" s="1" t="s">
        <v>14</v>
      </c>
      <c r="C499" s="1" t="s">
        <v>1849</v>
      </c>
      <c r="D499" s="1" t="str">
        <f>CONCATENATE("2459-2012-EMV",CHAR(10),"2012/S 002-0048092 od 03.08.2012.")</f>
        <v>2459-2012-EMV
2012/S 002-0048092 od 03.08.2012.</v>
      </c>
      <c r="E499" s="1" t="s">
        <v>15</v>
      </c>
      <c r="F499" s="1" t="str">
        <f>"599.850,00"</f>
        <v>599.850,00</v>
      </c>
      <c r="G499" s="1" t="str">
        <f>CONCATENATE("02.11.2012.",CHAR(10),"u roku od 12 mjeseci od dana potpisa Ugovora")</f>
        <v>02.11.2012.
u roku od 12 mjeseci od dana potpisa Ugovora</v>
      </c>
      <c r="H499" s="1" t="str">
        <f>CONCATENATE("C.S.P. D.O.O., ZAGREB")</f>
        <v>C.S.P. D.O.O., ZAGREB</v>
      </c>
      <c r="I499" s="2"/>
      <c r="J499" s="1"/>
      <c r="K499" s="2"/>
    </row>
    <row r="500" spans="1:11" ht="47.25" x14ac:dyDescent="0.25">
      <c r="A500" s="1" t="str">
        <f>"479/2012"</f>
        <v>479/2012</v>
      </c>
      <c r="B500" s="1" t="s">
        <v>14</v>
      </c>
      <c r="C500" s="1" t="s">
        <v>1850</v>
      </c>
      <c r="D500" s="1" t="str">
        <f>CONCATENATE("294-2012-EMV",CHAR(10),"2012/S 002-0037394 od 05.07.2012.")</f>
        <v>294-2012-EMV
2012/S 002-0037394 od 05.07.2012.</v>
      </c>
      <c r="E500" s="1" t="s">
        <v>15</v>
      </c>
      <c r="F500" s="1" t="str">
        <f>"175.405,00"</f>
        <v>175.405,00</v>
      </c>
      <c r="G500" s="1" t="str">
        <f>CONCATENATE("02.11.2012.",CHAR(10),"u roku  od 1 godine od dana obostranog potpisa Ugovora")</f>
        <v>02.11.2012.
u roku  od 1 godine od dana obostranog potpisa Ugovora</v>
      </c>
      <c r="H500" s="1" t="str">
        <f>CONCATENATE("DELTRON D.O.O., SPLIT")</f>
        <v>DELTRON D.O.O., SPLIT</v>
      </c>
      <c r="I500" s="1" t="s">
        <v>271</v>
      </c>
      <c r="J500" s="1" t="str">
        <f>SUBSTITUTE(SUBSTITUTE(SUBSTITUTE("195,367.52",".","-"),",","."),"-",",")</f>
        <v>195.367,52</v>
      </c>
      <c r="K500" s="2"/>
    </row>
    <row r="501" spans="1:11" ht="47.25" x14ac:dyDescent="0.25">
      <c r="A501" s="1" t="str">
        <f>"480/2012"</f>
        <v>480/2012</v>
      </c>
      <c r="B501" s="1" t="s">
        <v>14</v>
      </c>
      <c r="C501" s="1" t="s">
        <v>1851</v>
      </c>
      <c r="D501" s="1" t="str">
        <f>CONCATENATE("1908-2012-EMV",CHAR(10),"2012/S 002-0053843 od 27.08.2012.")</f>
        <v>1908-2012-EMV
2012/S 002-0053843 od 27.08.2012.</v>
      </c>
      <c r="E501" s="1" t="s">
        <v>15</v>
      </c>
      <c r="F501" s="1" t="str">
        <f>"94.260,00"</f>
        <v>94.260,00</v>
      </c>
      <c r="G501" s="1" t="str">
        <f>CONCATENATE("02.11.2012.",CHAR(10),"u roku od 30 dana , računajući od dana uvođenja u posao")</f>
        <v>02.11.2012.
u roku od 30 dana , računajući od dana uvođenja u posao</v>
      </c>
      <c r="H501" s="1" t="str">
        <f>CONCATENATE("SPEKTAR GRADNJA D.O.O., ZAGREB")</f>
        <v>SPEKTAR GRADNJA D.O.O., ZAGREB</v>
      </c>
      <c r="I501" s="1" t="s">
        <v>266</v>
      </c>
      <c r="J501" s="1" t="str">
        <f>SUBSTITUTE(SUBSTITUTE(SUBSTITUTE("117,811.38",".","-"),",","."),"-",",")</f>
        <v>117.811,38</v>
      </c>
      <c r="K501" s="2"/>
    </row>
    <row r="502" spans="1:11" ht="47.25" x14ac:dyDescent="0.25">
      <c r="A502" s="1" t="str">
        <f>"A-16/2012"</f>
        <v>A-16/2012</v>
      </c>
      <c r="B502" s="1" t="s">
        <v>11</v>
      </c>
      <c r="C502" s="1" t="s">
        <v>1852</v>
      </c>
      <c r="D502" s="1" t="str">
        <f>"1096-2012-EMV"</f>
        <v>1096-2012-EMV</v>
      </c>
      <c r="E502" s="2"/>
      <c r="F502" s="1" t="str">
        <f>"0,00"</f>
        <v>0,00</v>
      </c>
      <c r="G502" s="1" t="str">
        <f>CONCATENATE("02.11.2012.",CHAR(10),"ugovoreni radovi radovi izvest će se do 07.12.2012.")</f>
        <v>02.11.2012.
ugovoreni radovi radovi izvest će se do 07.12.2012.</v>
      </c>
      <c r="H502" s="1" t="str">
        <f>CONCATENATE("SPEKTAR GRADNJA D.O.O., ZAGREB")</f>
        <v>SPEKTAR GRADNJA D.O.O., ZAGREB</v>
      </c>
      <c r="I502" s="2"/>
      <c r="J502" s="1"/>
      <c r="K502" s="2"/>
    </row>
    <row r="503" spans="1:11" ht="63" x14ac:dyDescent="0.25">
      <c r="A503" s="1" t="str">
        <f>"481/2012"</f>
        <v>481/2012</v>
      </c>
      <c r="B503" s="1" t="s">
        <v>14</v>
      </c>
      <c r="C503" s="1" t="s">
        <v>1853</v>
      </c>
      <c r="D503" s="1" t="str">
        <f>CONCATENATE("1980-2012-EMV",CHAR(10),"2012/S 002-0044673 od 26.07.2012.")</f>
        <v>1980-2012-EMV
2012/S 002-0044673 od 26.07.2012.</v>
      </c>
      <c r="E503" s="1" t="s">
        <v>15</v>
      </c>
      <c r="F503" s="1" t="str">
        <f>"91.000,00"</f>
        <v>91.000,00</v>
      </c>
      <c r="G503" s="1" t="str">
        <f>CONCATENATE("05.11.2012.",CHAR(10),"u roku od 180 dana, računajući od dana obostranog potpisa Ugovora")</f>
        <v>05.11.2012.
u roku od 180 dana, računajući od dana obostranog potpisa Ugovora</v>
      </c>
      <c r="H503" s="1" t="str">
        <f>CONCATENATE("DALEKOVOD-PROJEKT D.O.O., ZAGREB")</f>
        <v>DALEKOVOD-PROJEKT D.O.O., ZAGREB</v>
      </c>
      <c r="I503" s="1" t="s">
        <v>265</v>
      </c>
      <c r="J503" s="1" t="str">
        <f>SUBSTITUTE(SUBSTITUTE(SUBSTITUTE("113,750.00",".","-"),",","."),"-",",")</f>
        <v>113.750,00</v>
      </c>
      <c r="K503" s="2"/>
    </row>
    <row r="504" spans="1:11" ht="47.25" x14ac:dyDescent="0.25">
      <c r="A504" s="1" t="str">
        <f>"482/2012"</f>
        <v>482/2012</v>
      </c>
      <c r="B504" s="1" t="s">
        <v>14</v>
      </c>
      <c r="C504" s="1" t="s">
        <v>1854</v>
      </c>
      <c r="D504" s="1" t="str">
        <f>CONCATENATE("2115-2012-EMV",CHAR(10),"2012/S 015-0071633 od 19.10.2012.")</f>
        <v>2115-2012-EMV
2012/S 015-0071633 od 19.10.2012.</v>
      </c>
      <c r="E504" s="1" t="s">
        <v>12</v>
      </c>
      <c r="F504" s="1" t="str">
        <f>"991.671,36"</f>
        <v>991.671,36</v>
      </c>
      <c r="G504" s="1" t="str">
        <f>CONCATENATE("05.11.2012.",CHAR(10),"u roku od 30 dana, računajući od dana uvođenja u posao")</f>
        <v>05.11.2012.
u roku od 30 dana, računajući od dana uvođenja u posao</v>
      </c>
      <c r="H504" s="1" t="str">
        <f>CONCATENATE("PRESOFLEX GRADNJA D.O.O., POŽEGA")</f>
        <v>PRESOFLEX GRADNJA D.O.O., POŽEGA</v>
      </c>
      <c r="I504" s="2"/>
      <c r="J504" s="1"/>
      <c r="K504" s="2"/>
    </row>
    <row r="505" spans="1:11" ht="47.25" x14ac:dyDescent="0.25">
      <c r="A505" s="1" t="str">
        <f>"483/2012"</f>
        <v>483/2012</v>
      </c>
      <c r="B505" s="1" t="s">
        <v>14</v>
      </c>
      <c r="C505" s="1" t="s">
        <v>1855</v>
      </c>
      <c r="D505" s="1" t="str">
        <f>CONCATENATE("917-2012-EMV",CHAR(10),"2012/S 002-0048413 od 06.08.2012.")</f>
        <v>917-2012-EMV
2012/S 002-0048413 od 06.08.2012.</v>
      </c>
      <c r="E505" s="1" t="s">
        <v>15</v>
      </c>
      <c r="F505" s="1" t="str">
        <f>"134.000,00"</f>
        <v>134.000,00</v>
      </c>
      <c r="G505" s="1" t="str">
        <f>CONCATENATE("06.11.2012.",CHAR(10),"u roku od 12 mjeseci nakon obostranog potpisa Ugovora")</f>
        <v>06.11.2012.
u roku od 12 mjeseci nakon obostranog potpisa Ugovora</v>
      </c>
      <c r="H505" s="1" t="str">
        <f>CONCATENATE("KONZALT ING D.O.O., ZAGREB")</f>
        <v>KONZALT ING D.O.O., ZAGREB</v>
      </c>
      <c r="I505" s="1" t="s">
        <v>272</v>
      </c>
      <c r="J505" s="1" t="str">
        <f>SUBSTITUTE(SUBSTITUTE(SUBSTITUTE("131,703.56",".","-"),",","."),"-",",")</f>
        <v>131.703,56</v>
      </c>
      <c r="K505" s="2"/>
    </row>
    <row r="506" spans="1:11" ht="78.75" x14ac:dyDescent="0.25">
      <c r="A506" s="1" t="str">
        <f>"484/2012"</f>
        <v>484/2012</v>
      </c>
      <c r="B506" s="1" t="s">
        <v>14</v>
      </c>
      <c r="C506" s="1" t="s">
        <v>1856</v>
      </c>
      <c r="D506" s="1" t="str">
        <f>CONCATENATE("877-2012-EMV",CHAR(10),"2012/S 002-0051009 od 14.08.2012.")</f>
        <v>877-2012-EMV
2012/S 002-0051009 od 14.08.2012.</v>
      </c>
      <c r="E506" s="1" t="s">
        <v>15</v>
      </c>
      <c r="F506" s="1" t="str">
        <f>"146.004,00"</f>
        <v>146.004,00</v>
      </c>
      <c r="G506" s="1" t="str">
        <f>CONCATENATE("06.11.2012.",CHAR(10),"u roku od 60 dana, računajući od dana uvođenja u posao")</f>
        <v>06.11.2012.
u roku od 60 dana, računajući od dana uvođenja u posao</v>
      </c>
      <c r="H506" s="1" t="str">
        <f>CONCATENATE("GEORAD D.O.O., ZAGREB",CHAR(10),"GEODIST D.O.O., ZAGREB")</f>
        <v>GEORAD D.O.O., ZAGREB
GEODIST D.O.O., ZAGREB</v>
      </c>
      <c r="I506" s="2"/>
      <c r="J506" s="1"/>
      <c r="K506" s="2"/>
    </row>
    <row r="507" spans="1:11" ht="47.25" x14ac:dyDescent="0.25">
      <c r="A507" s="1" t="str">
        <f>"485/2012"</f>
        <v>485/2012</v>
      </c>
      <c r="B507" s="1" t="s">
        <v>14</v>
      </c>
      <c r="C507" s="1" t="s">
        <v>1857</v>
      </c>
      <c r="D507" s="1" t="str">
        <f>CONCATENATE("2632-2012-EMV",CHAR(10),"2012/S 002-0051249 od 14.08.2012.")</f>
        <v>2632-2012-EMV
2012/S 002-0051249 od 14.08.2012.</v>
      </c>
      <c r="E507" s="1" t="s">
        <v>15</v>
      </c>
      <c r="F507" s="1" t="str">
        <f>"606.343,30"</f>
        <v>606.343,30</v>
      </c>
      <c r="G507" s="1" t="str">
        <f>CONCATENATE("06.11.2012.",CHAR(10),"u roku od 45 dana, računajući od dana uvođenja u posao")</f>
        <v>06.11.2012.
u roku od 45 dana, računajući od dana uvođenja u posao</v>
      </c>
      <c r="H507" s="1" t="str">
        <f>CONCATENATE("M. SOLDO D.O.O., ZAGREB",CHAR(10),"GEOGIS D.O.O., ZAGREB")</f>
        <v>M. SOLDO D.O.O., ZAGREB
GEOGIS D.O.O., ZAGREB</v>
      </c>
      <c r="I507" s="1" t="s">
        <v>273</v>
      </c>
      <c r="J507" s="1" t="str">
        <f>SUBSTITUTE(SUBSTITUTE(SUBSTITUTE("757,860.00",".","-"),",","."),"-",",")</f>
        <v>757.860,00</v>
      </c>
      <c r="K507" s="2"/>
    </row>
    <row r="508" spans="1:11" ht="47.25" x14ac:dyDescent="0.25">
      <c r="A508" s="1" t="str">
        <f>"A-17/2012"</f>
        <v>A-17/2012</v>
      </c>
      <c r="B508" s="1" t="s">
        <v>11</v>
      </c>
      <c r="C508" s="1" t="s">
        <v>1858</v>
      </c>
      <c r="D508" s="1" t="str">
        <f>"EV-497-013/2011"</f>
        <v>EV-497-013/2011</v>
      </c>
      <c r="E508" s="2"/>
      <c r="F508" s="1" t="str">
        <f>"0,00"</f>
        <v>0,00</v>
      </c>
      <c r="G508" s="1" t="str">
        <f>CONCATENATE("07.11.2012.",CHAR(10),"do sklapanja novog ugovora")</f>
        <v>07.11.2012.
do sklapanja novog ugovora</v>
      </c>
      <c r="H508" s="1" t="str">
        <f>CONCATENATE("NERING D.O.O., SESVETE")</f>
        <v>NERING D.O.O., SESVETE</v>
      </c>
      <c r="I508" s="2"/>
      <c r="J508" s="1"/>
      <c r="K508" s="2"/>
    </row>
    <row r="509" spans="1:11" ht="47.25" x14ac:dyDescent="0.25">
      <c r="A509" s="1" t="str">
        <f>"486/2012"</f>
        <v>486/2012</v>
      </c>
      <c r="B509" s="1" t="s">
        <v>14</v>
      </c>
      <c r="C509" s="1" t="s">
        <v>1859</v>
      </c>
      <c r="D509" s="1" t="str">
        <f>CONCATENATE("1846-2012-EMV",CHAR(10),"2012/S-002-0055005 od 30.08.2012.")</f>
        <v>1846-2012-EMV
2012/S-002-0055005 od 30.08.2012.</v>
      </c>
      <c r="E509" s="1" t="s">
        <v>15</v>
      </c>
      <c r="F509" s="1" t="str">
        <f>"198.369,00"</f>
        <v>198.369,00</v>
      </c>
      <c r="G509" s="1" t="str">
        <f>CONCATENATE("07.11.2012.",CHAR(10),"u roku od 60 dana, računajući od dana uvođenja u posao")</f>
        <v>07.11.2012.
u roku od 60 dana, računajući od dana uvođenja u posao</v>
      </c>
      <c r="H509" s="1" t="str">
        <f>CONCATENATE("STOLARIJA GOOOD D.O.O., OSIJEK")</f>
        <v>STOLARIJA GOOOD D.O.O., OSIJEK</v>
      </c>
      <c r="I509" s="1" t="s">
        <v>267</v>
      </c>
      <c r="J509" s="1" t="str">
        <f>SUBSTITUTE(SUBSTITUTE(SUBSTITUTE("202,354.86",".","-"),",","."),"-",",")</f>
        <v>202.354,86</v>
      </c>
      <c r="K509" s="2"/>
    </row>
    <row r="510" spans="1:11" ht="47.25" x14ac:dyDescent="0.25">
      <c r="A510" s="1" t="str">
        <f>"487/2012"</f>
        <v>487/2012</v>
      </c>
      <c r="B510" s="1" t="s">
        <v>14</v>
      </c>
      <c r="C510" s="1" t="s">
        <v>1860</v>
      </c>
      <c r="D510" s="1" t="str">
        <f>CONCATENATE("452-2012-EMV",CHAR(10),"2012/S 002-0049642 od 09.08.2012.")</f>
        <v>452-2012-EMV
2012/S 002-0049642 od 09.08.2012.</v>
      </c>
      <c r="E510" s="1" t="s">
        <v>15</v>
      </c>
      <c r="F510" s="1" t="str">
        <f>"70.275,00"</f>
        <v>70.275,00</v>
      </c>
      <c r="G510" s="1" t="str">
        <f>CONCATENATE("07.11.2012.",CHAR(10),"u roku 1 mjeseca od dana obostranog potpisa Ugovora")</f>
        <v>07.11.2012.
u roku 1 mjeseca od dana obostranog potpisa Ugovora</v>
      </c>
      <c r="H510" s="1" t="str">
        <f>CONCATENATE("ŠKOLSKI SERVIS D.O.O., ZAGREB")</f>
        <v>ŠKOLSKI SERVIS D.O.O., ZAGREB</v>
      </c>
      <c r="I510" s="1" t="s">
        <v>274</v>
      </c>
      <c r="J510" s="1" t="str">
        <f>SUBSTITUTE(SUBSTITUTE(SUBSTITUTE("87,843.75",".","-"),",","."),"-",",")</f>
        <v>87.843,75</v>
      </c>
      <c r="K510" s="2"/>
    </row>
    <row r="511" spans="1:11" ht="47.25" x14ac:dyDescent="0.25">
      <c r="A511" s="1" t="str">
        <f>"488/2012"</f>
        <v>488/2012</v>
      </c>
      <c r="B511" s="1" t="s">
        <v>14</v>
      </c>
      <c r="C511" s="1" t="s">
        <v>1861</v>
      </c>
      <c r="D511" s="1" t="str">
        <f>CONCATENATE("1945-2012-EMV",CHAR(10),"2012/S 002-0053902 od 27.08.2012.")</f>
        <v>1945-2012-EMV
2012/S 002-0053902 od 27.08.2012.</v>
      </c>
      <c r="E511" s="1" t="s">
        <v>15</v>
      </c>
      <c r="F511" s="1" t="str">
        <f>"128.725,00"</f>
        <v>128.725,00</v>
      </c>
      <c r="G511" s="1" t="str">
        <f>CONCATENATE("07.11.2012.",CHAR(10),"u roku od 60 dana od dana  uvođenaj u posao")</f>
        <v>07.11.2012.
u roku od 60 dana od dana  uvođenaj u posao</v>
      </c>
      <c r="H511" s="1" t="str">
        <f>CONCATENATE("BRID D.O.O., ČAKOVEC")</f>
        <v>BRID D.O.O., ČAKOVEC</v>
      </c>
      <c r="I511" s="1" t="s">
        <v>275</v>
      </c>
      <c r="J511" s="1" t="str">
        <f>SUBSTITUTE(SUBSTITUTE(SUBSTITUTE("160,906.25",".","-"),",","."),"-",",")</f>
        <v>160.906,25</v>
      </c>
      <c r="K511" s="2"/>
    </row>
    <row r="512" spans="1:11" ht="47.25" x14ac:dyDescent="0.25">
      <c r="A512" s="1" t="str">
        <f>"489/2012"</f>
        <v>489/2012</v>
      </c>
      <c r="B512" s="1" t="s">
        <v>14</v>
      </c>
      <c r="C512" s="1" t="s">
        <v>1862</v>
      </c>
      <c r="D512" s="1" t="str">
        <f>CONCATENATE("2728-2012-EMV",CHAR(10),"2012/S 002-0053544 od 24.08.2012.")</f>
        <v>2728-2012-EMV
2012/S 002-0053544 od 24.08.2012.</v>
      </c>
      <c r="E512" s="1" t="s">
        <v>15</v>
      </c>
      <c r="F512" s="1" t="str">
        <f>"119.705,00"</f>
        <v>119.705,00</v>
      </c>
      <c r="G512" s="1" t="str">
        <f>CONCATENATE("07.11.2012.",CHAR(10),"u roku od 90 dana od dana obostranog potpisa Ugovora")</f>
        <v>07.11.2012.
u roku od 90 dana od dana obostranog potpisa Ugovora</v>
      </c>
      <c r="H512" s="1" t="str">
        <f>CONCATENATE("NORMA PROM D.O.O., ZAGREB")</f>
        <v>NORMA PROM D.O.O., ZAGREB</v>
      </c>
      <c r="I512" s="1" t="s">
        <v>106</v>
      </c>
      <c r="J512" s="1" t="str">
        <f>SUBSTITUTE(SUBSTITUTE(SUBSTITUTE("149,631.25",".","-"),",","."),"-",",")</f>
        <v>149.631,25</v>
      </c>
      <c r="K512" s="2"/>
    </row>
    <row r="513" spans="1:11" ht="94.5" x14ac:dyDescent="0.25">
      <c r="A513" s="1" t="str">
        <f>"490/2012"</f>
        <v>490/2012</v>
      </c>
      <c r="B513" s="1" t="s">
        <v>14</v>
      </c>
      <c r="C513" s="1" t="s">
        <v>1863</v>
      </c>
      <c r="D513" s="1" t="str">
        <f>CONCATENATE("2536-2012-EMV",CHAR(10),"2012/S 002-0047756 od 03.08.2012.")</f>
        <v>2536-2012-EMV
2012/S 002-0047756 od 03.08.2012.</v>
      </c>
      <c r="E513" s="1" t="s">
        <v>15</v>
      </c>
      <c r="F513" s="1" t="str">
        <f>"689.826,00"</f>
        <v>689.826,00</v>
      </c>
      <c r="G513" s="1" t="str">
        <f>CONCATENATE("08.11.2012.",CHAR(10)," u roku od 60 dana, računajući od dana uvođenja u posao")</f>
        <v>08.11.2012.
 u roku od 60 dana, računajući od dana uvođenja u posao</v>
      </c>
      <c r="H513" s="1" t="str">
        <f>CONCATENATE("SAMOBORKA D.D., SAMOBOR",CHAR(10),"P.G.P. D.O.O., ZAGREB",CHAR(10),"ELEKTROCENTAR PETEK D.O.O., IVANIĆ-GRAD",CHAR(10),"MEIXNER D.O.O., ZAGREB",CHAR(10),"JURIČIĆ INVEST D.O.O., ZAGREB")</f>
        <v>SAMOBORKA D.D., SAMOBOR
P.G.P. D.O.O., ZAGREB
ELEKTROCENTAR PETEK D.O.O., IVANIĆ-GRAD
MEIXNER D.O.O., ZAGREB
JURIČIĆ INVEST D.O.O., ZAGREB</v>
      </c>
      <c r="I513" s="1" t="s">
        <v>221</v>
      </c>
      <c r="J513" s="1" t="str">
        <f>SUBSTITUTE(SUBSTITUTE(SUBSTITUTE("858,423.23",".","-"),",","."),"-",",")</f>
        <v>858.423,23</v>
      </c>
      <c r="K513" s="2"/>
    </row>
    <row r="514" spans="1:11" ht="94.5" x14ac:dyDescent="0.25">
      <c r="A514" s="1" t="str">
        <f>"491/2012"</f>
        <v>491/2012</v>
      </c>
      <c r="B514" s="1" t="s">
        <v>14</v>
      </c>
      <c r="C514" s="1" t="s">
        <v>1864</v>
      </c>
      <c r="D514" s="1" t="str">
        <f>CONCATENATE("1979-2012-EMV",CHAR(10),"2012/S 002-0055185 od 30.08.2012.")</f>
        <v>1979-2012-EMV
2012/S 002-0055185 od 30.08.2012.</v>
      </c>
      <c r="E514" s="1" t="s">
        <v>15</v>
      </c>
      <c r="F514" s="1" t="str">
        <f>"82.500,00"</f>
        <v>82.500,00</v>
      </c>
      <c r="G514" s="1" t="str">
        <f>CONCATENATE("08.11.2012.",CHAR(10),"u roku od 6 mjeseci , računajući od dana obostranog potpisa Ugovora")</f>
        <v>08.11.2012.
u roku od 6 mjeseci , računajući od dana obostranog potpisa Ugovora</v>
      </c>
      <c r="H514" s="1" t="str">
        <f>CONCATENATE("INŽENJERSKI PROJEKTNI ZAVOD D.D., ZAGREB",CHAR(10),"GEO-BIM D.O.O., SAMOBOR")</f>
        <v>INŽENJERSKI PROJEKTNI ZAVOD D.D., ZAGREB
GEO-BIM D.O.O., SAMOBOR</v>
      </c>
      <c r="I514" s="2"/>
      <c r="J514" s="1"/>
      <c r="K514" s="2"/>
    </row>
    <row r="515" spans="1:11" ht="47.25" x14ac:dyDescent="0.25">
      <c r="A515" s="1" t="str">
        <f>"492/2012"</f>
        <v>492/2012</v>
      </c>
      <c r="B515" s="1" t="s">
        <v>14</v>
      </c>
      <c r="C515" s="1" t="s">
        <v>1865</v>
      </c>
      <c r="D515" s="1" t="str">
        <f>CONCATENATE("446-2012-EMV",CHAR(10),"2012/S 002-0038307 od 09.07.2012.")</f>
        <v>446-2012-EMV
2012/S 002-0038307 od 09.07.2012.</v>
      </c>
      <c r="E515" s="1" t="s">
        <v>15</v>
      </c>
      <c r="F515" s="1" t="str">
        <f>"178.288,00"</f>
        <v>178.288,00</v>
      </c>
      <c r="G515" s="1" t="str">
        <f>CONCATENATE("09.11.2012.",CHAR(10),"u roku od 45 dana od dana obostranog potpisa Ugovora")</f>
        <v>09.11.2012.
u roku od 45 dana od dana obostranog potpisa Ugovora</v>
      </c>
      <c r="H515" s="1" t="str">
        <f>CONCATENATE("PROKLIMA-TIM D.O.O., ZAGREB")</f>
        <v>PROKLIMA-TIM D.O.O., ZAGREB</v>
      </c>
      <c r="I515" s="1" t="s">
        <v>166</v>
      </c>
      <c r="J515" s="1" t="str">
        <f>SUBSTITUTE(SUBSTITUTE(SUBSTITUTE("222,860.00",".","-"),",","."),"-",",")</f>
        <v>222.860,00</v>
      </c>
      <c r="K515" s="2"/>
    </row>
    <row r="516" spans="1:11" ht="47.25" x14ac:dyDescent="0.25">
      <c r="A516" s="1" t="str">
        <f>"493/2012"</f>
        <v>493/2012</v>
      </c>
      <c r="B516" s="1" t="s">
        <v>14</v>
      </c>
      <c r="C516" s="1" t="s">
        <v>1866</v>
      </c>
      <c r="D516" s="1" t="str">
        <f>CONCATENATE("297-2012-EMV",CHAR(10),"2012/S 002-0042216 od 18.07.2012.")</f>
        <v>297-2012-EMV
2012/S 002-0042216 od 18.07.2012.</v>
      </c>
      <c r="E516" s="1" t="s">
        <v>15</v>
      </c>
      <c r="F516" s="1" t="str">
        <f>"220.220,00"</f>
        <v>220.220,00</v>
      </c>
      <c r="G516" s="1" t="str">
        <f>CONCATENATE("09.11.2012.",CHAR(10),"u roku od 60 dana od dana obostranog potpisa Ugovora")</f>
        <v>09.11.2012.
u roku od 60 dana od dana obostranog potpisa Ugovora</v>
      </c>
      <c r="H516" s="1" t="str">
        <f>CONCATENATE("PROKLIMA-TIM D.O.O., ZAGREB")</f>
        <v>PROKLIMA-TIM D.O.O., ZAGREB</v>
      </c>
      <c r="I516" s="1" t="s">
        <v>80</v>
      </c>
      <c r="J516" s="1" t="str">
        <f>SUBSTITUTE(SUBSTITUTE(SUBSTITUTE("275,275.00",".","-"),",","."),"-",",")</f>
        <v>275.275,00</v>
      </c>
      <c r="K516" s="2"/>
    </row>
    <row r="517" spans="1:11" ht="63" x14ac:dyDescent="0.25">
      <c r="A517" s="1" t="str">
        <f>"494/2012"</f>
        <v>494/2012</v>
      </c>
      <c r="B517" s="1" t="s">
        <v>14</v>
      </c>
      <c r="C517" s="1" t="s">
        <v>1867</v>
      </c>
      <c r="D517" s="1" t="str">
        <f>CONCATENATE("812-2012-EMV",CHAR(10),"2012/S 002-0046344 od 31.07.2012.")</f>
        <v>812-2012-EMV
2012/S 002-0046344 od 31.07.2012.</v>
      </c>
      <c r="E517" s="1" t="s">
        <v>15</v>
      </c>
      <c r="F517" s="1" t="str">
        <f>"24.800,00"</f>
        <v>24.800,00</v>
      </c>
      <c r="G517" s="1" t="str">
        <f>CONCATENATE("09.11.2012.",CHAR(10),"prema rokovima i dinamici sanacije klizišta, od dana uvođenja u posao")</f>
        <v>09.11.2012.
prema rokovima i dinamici sanacije klizišta, od dana uvođenja u posao</v>
      </c>
      <c r="H517" s="1" t="str">
        <f>CONCATENATE("NERING PROJEKT D.O.O., ZAGREB",CHAR(10),"GEOAQUA D.O.O., ZAGREB")</f>
        <v>NERING PROJEKT D.O.O., ZAGREB
GEOAQUA D.O.O., ZAGREB</v>
      </c>
      <c r="I517" s="2"/>
      <c r="J517" s="1"/>
      <c r="K517" s="2"/>
    </row>
    <row r="518" spans="1:11" ht="78.75" x14ac:dyDescent="0.25">
      <c r="A518" s="1" t="str">
        <f>"495/2012"</f>
        <v>495/2012</v>
      </c>
      <c r="B518" s="1" t="s">
        <v>14</v>
      </c>
      <c r="C518" s="1" t="s">
        <v>1868</v>
      </c>
      <c r="D518" s="1" t="str">
        <f>"485-2012-EVV"</f>
        <v>485-2012-EVV</v>
      </c>
      <c r="E518" s="1" t="s">
        <v>40</v>
      </c>
      <c r="F518" s="1" t="str">
        <f>"308.003,60"</f>
        <v>308.003,60</v>
      </c>
      <c r="G518" s="1" t="str">
        <f>CONCATENATE("09.11.2012.",CHAR(10),"u roku od 12 mjeseci od dana obostranog potpisa Ugovora")</f>
        <v>09.11.2012.
u roku od 12 mjeseci od dana obostranog potpisa Ugovora</v>
      </c>
      <c r="H518" s="1" t="str">
        <f>CONCATENATE("LJEČILIŠTE TOPUSKO, TOPUSKO")</f>
        <v>LJEČILIŠTE TOPUSKO, TOPUSKO</v>
      </c>
      <c r="I518" s="1" t="s">
        <v>276</v>
      </c>
      <c r="J518" s="1" t="str">
        <f>SUBSTITUTE(SUBSTITUTE(SUBSTITUTE("291,531.80",".","-"),",","."),"-",",")</f>
        <v>291.531,80</v>
      </c>
      <c r="K518" s="2"/>
    </row>
    <row r="519" spans="1:11" ht="47.25" x14ac:dyDescent="0.25">
      <c r="A519" s="1" t="str">
        <f>"496/2012"</f>
        <v>496/2012</v>
      </c>
      <c r="B519" s="1" t="s">
        <v>14</v>
      </c>
      <c r="C519" s="1" t="s">
        <v>1869</v>
      </c>
      <c r="D519" s="1" t="str">
        <f>CONCATENATE("2630-2012-EMV",CHAR(10),"2012/S 002-005122 od 14.08.2012.")</f>
        <v>2630-2012-EMV
2012/S 002-005122 od 14.08.2012.</v>
      </c>
      <c r="E519" s="1" t="s">
        <v>15</v>
      </c>
      <c r="F519" s="1" t="str">
        <f>"101.370,00"</f>
        <v>101.370,00</v>
      </c>
      <c r="G519" s="1" t="str">
        <f>CONCATENATE("09.11.2012.",CHAR(10),"u roku od 45 dana, računajući od dana uvođenja u posao")</f>
        <v>09.11.2012.
u roku od 45 dana, računajući od dana uvođenja u posao</v>
      </c>
      <c r="H519" s="1" t="str">
        <f>CONCATENATE("PRIGORAC-GRAĐENJE D.O.O., SESVETE")</f>
        <v>PRIGORAC-GRAĐENJE D.O.O., SESVETE</v>
      </c>
      <c r="I519" s="1" t="s">
        <v>277</v>
      </c>
      <c r="J519" s="1" t="str">
        <f>SUBSTITUTE(SUBSTITUTE(SUBSTITUTE("126,493.75",".","-"),",","."),"-",",")</f>
        <v>126.493,75</v>
      </c>
      <c r="K519" s="2"/>
    </row>
    <row r="520" spans="1:11" ht="47.25" x14ac:dyDescent="0.25">
      <c r="A520" s="1" t="str">
        <f>"497/2012"</f>
        <v>497/2012</v>
      </c>
      <c r="B520" s="1" t="s">
        <v>14</v>
      </c>
      <c r="C520" s="1" t="s">
        <v>1870</v>
      </c>
      <c r="D520" s="1" t="str">
        <f>CONCATENATE("1953-2012-EMV",CHAR(10),"2012/S 002-0058492 od 10.09.2012.")</f>
        <v>1953-2012-EMV
2012/S 002-0058492 od 10.09.2012.</v>
      </c>
      <c r="E520" s="1" t="s">
        <v>15</v>
      </c>
      <c r="F520" s="1" t="str">
        <f>"266.081,10"</f>
        <v>266.081,10</v>
      </c>
      <c r="G520" s="1" t="str">
        <f>CONCATENATE("12.11.2012.",CHAR(10),"mjesec dana, računajući od dana uvođenja u posao")</f>
        <v>12.11.2012.
mjesec dana, računajući od dana uvođenja u posao</v>
      </c>
      <c r="H520" s="1" t="str">
        <f>CONCATENATE("FORSET D.O.O., ZAGREB")</f>
        <v>FORSET D.O.O., ZAGREB</v>
      </c>
      <c r="I520" s="1" t="s">
        <v>13</v>
      </c>
      <c r="J520" s="1" t="str">
        <f>SUBSTITUTE(SUBSTITUTE(SUBSTITUTE("332,028.16",".","-"),",","."),"-",",")</f>
        <v>332.028,16</v>
      </c>
      <c r="K520" s="2"/>
    </row>
    <row r="521" spans="1:11" ht="63" x14ac:dyDescent="0.25">
      <c r="A521" s="1" t="str">
        <f>"498/2012"</f>
        <v>498/2012</v>
      </c>
      <c r="B521" s="1" t="s">
        <v>14</v>
      </c>
      <c r="C521" s="1" t="s">
        <v>1871</v>
      </c>
      <c r="D521" s="1" t="str">
        <f>CONCATENATE("2528-2012-EMV",CHAR(10),"2012/S 002-0038927 od 10.07.2012.")</f>
        <v>2528-2012-EMV
2012/S 002-0038927 od 10.07.2012.</v>
      </c>
      <c r="E521" s="1" t="s">
        <v>15</v>
      </c>
      <c r="F521" s="1" t="str">
        <f>"61.300,00"</f>
        <v>61.300,00</v>
      </c>
      <c r="G521" s="1" t="str">
        <f>CONCATENATE("12.11.2012.",CHAR(10),"prema rokovima i dinamici izvođenja radova, od dana uvođenja u posao")</f>
        <v>12.11.2012.
prema rokovima i dinamici izvođenja radova, od dana uvođenja u posao</v>
      </c>
      <c r="H521" s="1" t="str">
        <f>CONCATENATE("ZEM NADZOR D.O.O., ZAGREB",CHAR(10),"PROMPT D.O.O., ZAGREB",CHAR(10),"DRUGI FORMAT D.O.O., ZAGREB",CHAR(10),"GEOANDA D.O.O., ZAGREB")</f>
        <v>ZEM NADZOR D.O.O., ZAGREB
PROMPT D.O.O., ZAGREB
DRUGI FORMAT D.O.O., ZAGREB
GEOANDA D.O.O., ZAGREB</v>
      </c>
      <c r="I521" s="2"/>
      <c r="J521" s="1"/>
      <c r="K521" s="2"/>
    </row>
    <row r="522" spans="1:11" ht="78.75" x14ac:dyDescent="0.25">
      <c r="A522" s="1" t="str">
        <f>"499/2012"</f>
        <v>499/2012</v>
      </c>
      <c r="B522" s="1" t="s">
        <v>14</v>
      </c>
      <c r="C522" s="1" t="s">
        <v>1872</v>
      </c>
      <c r="D522" s="1" t="str">
        <f>CONCATENATE("1843-2012-EMV",CHAR(10),"2012/S 002-0056333 od 03.09.2012.")</f>
        <v>1843-2012-EMV
2012/S 002-0056333 od 03.09.2012.</v>
      </c>
      <c r="E522" s="1" t="s">
        <v>15</v>
      </c>
      <c r="F522" s="1" t="str">
        <f>"98.500,00"</f>
        <v>98.500,00</v>
      </c>
      <c r="G522" s="1" t="str">
        <f>CONCATENATE("13.11.2012.",CHAR(10),"6 mjeseci od dana obostranog potpisa Ugovora")</f>
        <v>13.11.2012.
6 mjeseci od dana obostranog potpisa Ugovora</v>
      </c>
      <c r="H522" s="1" t="str">
        <f>CONCATENATE("DALEKOVOD-PROJEKT D.O.O., ZAGREB")</f>
        <v>DALEKOVOD-PROJEKT D.O.O., ZAGREB</v>
      </c>
      <c r="I522" s="2"/>
      <c r="J522" s="1"/>
      <c r="K522" s="2"/>
    </row>
    <row r="523" spans="1:11" ht="47.25" x14ac:dyDescent="0.25">
      <c r="A523" s="1" t="str">
        <f>"500/2012"</f>
        <v>500/2012</v>
      </c>
      <c r="B523" s="1" t="s">
        <v>14</v>
      </c>
      <c r="C523" s="1" t="s">
        <v>1873</v>
      </c>
      <c r="D523" s="1" t="str">
        <f>CONCATENATE("2068-2012-EMV",CHAR(10),"2012/S 002-0050712 od 13.08.2012.")</f>
        <v>2068-2012-EMV
2012/S 002-0050712 od 13.08.2012.</v>
      </c>
      <c r="E523" s="1" t="s">
        <v>15</v>
      </c>
      <c r="F523" s="1" t="str">
        <f>"299.802,60"</f>
        <v>299.802,60</v>
      </c>
      <c r="G523" s="1" t="str">
        <f>CONCATENATE("13.11.2012.",CHAR(10),"180 dana od dana uvođenja u posao")</f>
        <v>13.11.2012.
180 dana od dana uvođenja u posao</v>
      </c>
      <c r="H523" s="1" t="str">
        <f>CONCATENATE("TELEKTRA D.O.O., SESVETE")</f>
        <v>TELEKTRA D.O.O., SESVETE</v>
      </c>
      <c r="I523" s="1" t="s">
        <v>77</v>
      </c>
      <c r="J523" s="1" t="str">
        <f>SUBSTITUTE(SUBSTITUTE(SUBSTITUTE("369,954.55",".","-"),",","."),"-",",")</f>
        <v>369.954,55</v>
      </c>
      <c r="K523" s="2"/>
    </row>
    <row r="524" spans="1:11" ht="47.25" x14ac:dyDescent="0.25">
      <c r="A524" s="1" t="str">
        <f>"501/2012"</f>
        <v>501/2012</v>
      </c>
      <c r="B524" s="1" t="s">
        <v>14</v>
      </c>
      <c r="C524" s="1" t="s">
        <v>1874</v>
      </c>
      <c r="D524" s="1" t="str">
        <f>CONCATENATE("775-2012-EMV",CHAR(10),"2012/S 002-0049843 od 09.08.2012.")</f>
        <v>775-2012-EMV
2012/S 002-0049843 od 09.08.2012.</v>
      </c>
      <c r="E524" s="1" t="s">
        <v>15</v>
      </c>
      <c r="F524" s="1" t="str">
        <f>"87.000,00"</f>
        <v>87.000,00</v>
      </c>
      <c r="G524" s="1" t="str">
        <f>CONCATENATE("13.11.2012.",CHAR(10),"12 mjeseci od dana obostranog potpisa Ugovora")</f>
        <v>13.11.2012.
12 mjeseci od dana obostranog potpisa Ugovora</v>
      </c>
      <c r="H524" s="1" t="str">
        <f>CONCATENATE("GEOANDA D.O.O., ZAGREB")</f>
        <v>GEOANDA D.O.O., ZAGREB</v>
      </c>
      <c r="I524" s="2"/>
      <c r="J524" s="1"/>
      <c r="K524" s="2"/>
    </row>
    <row r="525" spans="1:11" ht="47.25" x14ac:dyDescent="0.25">
      <c r="A525" s="1" t="str">
        <f>"502/2012"</f>
        <v>502/2012</v>
      </c>
      <c r="B525" s="1" t="s">
        <v>14</v>
      </c>
      <c r="C525" s="1" t="s">
        <v>1875</v>
      </c>
      <c r="D525" s="1" t="str">
        <f>CONCATENATE("1851-2012-EMV",CHAR(10),"2012/S 002-0057811 od 07.09.2012.")</f>
        <v>1851-2012-EMV
2012/S 002-0057811 od 07.09.2012.</v>
      </c>
      <c r="E525" s="1" t="s">
        <v>15</v>
      </c>
      <c r="F525" s="1" t="str">
        <f>"38.296,04"</f>
        <v>38.296,04</v>
      </c>
      <c r="G525" s="1" t="str">
        <f>CONCATENATE("13.11.2012.",CHAR(10),"60 dana, računajući od dana uvođenja u posao")</f>
        <v>13.11.2012.
60 dana, računajući od dana uvođenja u posao</v>
      </c>
      <c r="H525" s="1" t="str">
        <f>CONCATENATE("HEDOM D.O.O., ZAGREB")</f>
        <v>HEDOM D.O.O., ZAGREB</v>
      </c>
      <c r="I525" s="2"/>
      <c r="J525" s="1"/>
      <c r="K525" s="2"/>
    </row>
    <row r="526" spans="1:11" ht="63" x14ac:dyDescent="0.25">
      <c r="A526" s="1" t="str">
        <f>"503/2012"</f>
        <v>503/2012</v>
      </c>
      <c r="B526" s="1" t="s">
        <v>14</v>
      </c>
      <c r="C526" s="1" t="s">
        <v>1876</v>
      </c>
      <c r="D526" s="1" t="str">
        <f>CONCATENATE("2696-2012-EMV",CHAR(10),"2012/S 002-0052618 od 22.08.2012.")</f>
        <v>2696-2012-EMV
2012/S 002-0052618 od 22.08.2012.</v>
      </c>
      <c r="E526" s="1" t="s">
        <v>15</v>
      </c>
      <c r="F526" s="1" t="str">
        <f>"464.360,00"</f>
        <v>464.360,00</v>
      </c>
      <c r="G526" s="1" t="str">
        <f>CONCATENATE("13.11.2012.",CHAR(10),"do 31.12.2012.")</f>
        <v>13.11.2012.
do 31.12.2012.</v>
      </c>
      <c r="H526" s="1" t="str">
        <f>CONCATENATE("URIHO - USTANOVA ZA PROFESIONALNU REHABILITACIJU I ZAPOŠLJAVANJE OSOBA S INVALIDITETOM, ZAGREB")</f>
        <v>URIHO - USTANOVA ZA PROFESIONALNU REHABILITACIJU I ZAPOŠLJAVANJE OSOBA S INVALIDITETOM, ZAGREB</v>
      </c>
      <c r="I526" s="2"/>
      <c r="J526" s="1"/>
      <c r="K526" s="2"/>
    </row>
    <row r="527" spans="1:11" ht="47.25" x14ac:dyDescent="0.25">
      <c r="A527" s="1" t="str">
        <f>"504/2012"</f>
        <v>504/2012</v>
      </c>
      <c r="B527" s="1" t="s">
        <v>14</v>
      </c>
      <c r="C527" s="1" t="s">
        <v>1877</v>
      </c>
      <c r="D527" s="1" t="str">
        <f>CONCATENATE("2571-2012-EMV",CHAR(10),"2012/S 015-0061797 od 19.09.2012.")</f>
        <v>2571-2012-EMV
2012/S 015-0061797 od 19.09.2012.</v>
      </c>
      <c r="E527" s="1" t="s">
        <v>12</v>
      </c>
      <c r="F527" s="1" t="str">
        <f>"315.838,19"</f>
        <v>315.838,19</v>
      </c>
      <c r="G527" s="1" t="str">
        <f>CONCATENATE("22.10.2012.",CHAR(10),"30 dana, računajući od dana uvođenja u posao")</f>
        <v>22.10.2012.
30 dana, računajući od dana uvođenja u posao</v>
      </c>
      <c r="H527" s="1" t="str">
        <f>CONCATENATE("MONTER STROJARSKE MONTAŽE, ZAGREB")</f>
        <v>MONTER STROJARSKE MONTAŽE, ZAGREB</v>
      </c>
      <c r="I527" s="1" t="s">
        <v>278</v>
      </c>
      <c r="J527" s="1" t="str">
        <f>SUBSTITUTE(SUBSTITUTE(SUBSTITUTE("394,797.74",".","-"),",","."),"-",",")</f>
        <v>394.797,74</v>
      </c>
      <c r="K527" s="2"/>
    </row>
    <row r="528" spans="1:11" ht="47.25" x14ac:dyDescent="0.25">
      <c r="A528" s="1" t="str">
        <f>"505/2012"</f>
        <v>505/2012</v>
      </c>
      <c r="B528" s="1" t="s">
        <v>14</v>
      </c>
      <c r="C528" s="1" t="s">
        <v>1878</v>
      </c>
      <c r="D528" s="1" t="str">
        <f>CONCATENATE("423-2012-EMV",CHAR(10),"2012/S 002-0052134 od 20.08.2012.")</f>
        <v>423-2012-EMV
2012/S 002-0052134 od 20.08.2012.</v>
      </c>
      <c r="E528" s="1" t="s">
        <v>15</v>
      </c>
      <c r="F528" s="1" t="str">
        <f>"780.722,00"</f>
        <v>780.722,00</v>
      </c>
      <c r="G528" s="1" t="str">
        <f>CONCATENATE("14.11.2012.",CHAR(10),"60 dana, računajući od dana uvođenja u posao")</f>
        <v>14.11.2012.
60 dana, računajući od dana uvođenja u posao</v>
      </c>
      <c r="H528" s="1" t="str">
        <f>CONCATENATE("HM-PATRIA D.O.O., ZAGREB",CHAR(10),"C.I.A.K. D.O.O., ZAGREB")</f>
        <v>HM-PATRIA D.O.O., ZAGREB
C.I.A.K. D.O.O., ZAGREB</v>
      </c>
      <c r="I528" s="1" t="s">
        <v>279</v>
      </c>
      <c r="J528" s="1" t="str">
        <f>SUBSTITUTE(SUBSTITUTE(SUBSTITUTE("973,732.71",".","-"),",","."),"-",",")</f>
        <v>973.732,71</v>
      </c>
      <c r="K528" s="2"/>
    </row>
    <row r="529" spans="1:11" ht="63" x14ac:dyDescent="0.25">
      <c r="A529" s="1" t="str">
        <f>"506/2012"</f>
        <v>506/2012</v>
      </c>
      <c r="B529" s="1" t="s">
        <v>14</v>
      </c>
      <c r="C529" s="1" t="s">
        <v>1879</v>
      </c>
      <c r="D529" s="1" t="str">
        <f>CONCATENATE("416-2012-EMV",CHAR(10),"2012/S 002-0045128 od 27.07.2012.")</f>
        <v>416-2012-EMV
2012/S 002-0045128 od 27.07.2012.</v>
      </c>
      <c r="E529" s="1" t="s">
        <v>15</v>
      </c>
      <c r="F529" s="1" t="str">
        <f>"1.805.455,35"</f>
        <v>1.805.455,35</v>
      </c>
      <c r="G529" s="1" t="str">
        <f>CONCATENATE("14.11.2012.",CHAR(10),"90 dana, računajući od dana uvođenja u posao")</f>
        <v>14.11.2012.
90 dana, računajući od dana uvođenja u posao</v>
      </c>
      <c r="H529" s="1" t="str">
        <f>CONCATENATE("HM-PATRIA D.O.O., ZAGREB",CHAR(10),"ATIKA OBRT ZA RESTAURIRANJE UMJETNINA I USLUŽNE DJELATNOSTI, ZAGREB")</f>
        <v>HM-PATRIA D.O.O., ZAGREB
ATIKA OBRT ZA RESTAURIRANJE UMJETNINA I USLUŽNE DJELATNOSTI, ZAGREB</v>
      </c>
      <c r="I529" s="1" t="s">
        <v>280</v>
      </c>
      <c r="J529" s="1" t="str">
        <f>SUBSTITUTE(SUBSTITUTE(SUBSTITUTE("2,197,756.81",".","-"),",","."),"-",",")</f>
        <v>2.197.756,81</v>
      </c>
      <c r="K529" s="2"/>
    </row>
    <row r="530" spans="1:11" ht="47.25" x14ac:dyDescent="0.25">
      <c r="A530" s="1" t="str">
        <f>"507/2012"</f>
        <v>507/2012</v>
      </c>
      <c r="B530" s="1" t="s">
        <v>14</v>
      </c>
      <c r="C530" s="1" t="s">
        <v>1880</v>
      </c>
      <c r="D530" s="1" t="str">
        <f>CONCATENATE("1970-2012-EMV",CHAR(10),"2012/S 002-0054615 od 29.08.2012.")</f>
        <v>1970-2012-EMV
2012/S 002-0054615 od 29.08.2012.</v>
      </c>
      <c r="E530" s="1" t="s">
        <v>15</v>
      </c>
      <c r="F530" s="1" t="str">
        <f>"34.000,00"</f>
        <v>34.000,00</v>
      </c>
      <c r="G530" s="1" t="str">
        <f>CONCATENATE("15.11.2012.",CHAR(10),"180 dana, računajući od dana obostranog potpisa Ugovora")</f>
        <v>15.11.2012.
180 dana, računajući od dana obostranog potpisa Ugovora</v>
      </c>
      <c r="H530" s="1" t="str">
        <f>CONCATENATE("EKO-PLAN D.O.O., ZAGREB",CHAR(10),"GEOPROJEKT D.O.O., ZAGREB")</f>
        <v>EKO-PLAN D.O.O., ZAGREB
GEOPROJEKT D.O.O., ZAGREB</v>
      </c>
      <c r="I530" s="2"/>
      <c r="J530" s="1"/>
      <c r="K530" s="2"/>
    </row>
    <row r="531" spans="1:11" ht="63" x14ac:dyDescent="0.25">
      <c r="A531" s="1" t="str">
        <f>"508/2012"</f>
        <v>508/2012</v>
      </c>
      <c r="B531" s="1" t="s">
        <v>14</v>
      </c>
      <c r="C531" s="1" t="s">
        <v>1881</v>
      </c>
      <c r="D531" s="1" t="str">
        <f>CONCATENATE("1973-2012-EMV",CHAR(10),"2012/S 002-0055860 od 03.09.2012.")</f>
        <v>1973-2012-EMV
2012/S 002-0055860 od 03.09.2012.</v>
      </c>
      <c r="E531" s="1" t="s">
        <v>15</v>
      </c>
      <c r="F531" s="1" t="str">
        <f>"64.000,00"</f>
        <v>64.000,00</v>
      </c>
      <c r="G531" s="1" t="str">
        <f>CONCATENATE("15.11.2012.",CHAR(10),"180 dana od dana obostranog potpisa Ugovora")</f>
        <v>15.11.2012.
180 dana od dana obostranog potpisa Ugovora</v>
      </c>
      <c r="H531" s="1" t="str">
        <f>CONCATENATE("HIDROELEKTRA-PROJEKT D.O.O., ZAGREB")</f>
        <v>HIDROELEKTRA-PROJEKT D.O.O., ZAGREB</v>
      </c>
      <c r="I531" s="2"/>
      <c r="J531" s="1"/>
      <c r="K531" s="2"/>
    </row>
    <row r="532" spans="1:11" ht="63" x14ac:dyDescent="0.25">
      <c r="A532" s="1" t="str">
        <f>"511/2012"</f>
        <v>511/2012</v>
      </c>
      <c r="B532" s="1" t="s">
        <v>14</v>
      </c>
      <c r="C532" s="1" t="s">
        <v>1882</v>
      </c>
      <c r="D532" s="1" t="str">
        <f>CONCATENATE("1960-2012-EMV",CHAR(10),"2012/S 002-0055788 od 31.08.2012.")</f>
        <v>1960-2012-EMV
2012/S 002-0055788 od 31.08.2012.</v>
      </c>
      <c r="E532" s="1" t="s">
        <v>15</v>
      </c>
      <c r="F532" s="1" t="str">
        <f>"45.900,00"</f>
        <v>45.900,00</v>
      </c>
      <c r="G532" s="1" t="str">
        <f>CONCATENATE("16.11.2012.",CHAR(10),"180 dana, računajući od dana obostranog potpisa Ugovora")</f>
        <v>16.11.2012.
180 dana, računajući od dana obostranog potpisa Ugovora</v>
      </c>
      <c r="H532" s="1" t="str">
        <f>CONCATENATE("CAPITAL ING D.O.O., ZAGREB",CHAR(10),"GEO GRUPA D.O.O., ZAGREB")</f>
        <v>CAPITAL ING D.O.O., ZAGREB
GEO GRUPA D.O.O., ZAGREB</v>
      </c>
      <c r="I532" s="2"/>
      <c r="J532" s="1"/>
      <c r="K532" s="2"/>
    </row>
    <row r="533" spans="1:11" ht="63" x14ac:dyDescent="0.25">
      <c r="A533" s="1" t="str">
        <f>"514/2012"</f>
        <v>514/2012</v>
      </c>
      <c r="B533" s="1" t="s">
        <v>14</v>
      </c>
      <c r="C533" s="1" t="s">
        <v>1883</v>
      </c>
      <c r="D533" s="1" t="str">
        <f>CONCATENATE("2719-2012-EMV",CHAR(10),"2012/S 015-0059642 od 12.09.2012.")</f>
        <v>2719-2012-EMV
2012/S 015-0059642 od 12.09.2012.</v>
      </c>
      <c r="E533" s="1" t="s">
        <v>12</v>
      </c>
      <c r="F533" s="1" t="str">
        <f>"224.900,00"</f>
        <v>224.900,00</v>
      </c>
      <c r="G533" s="1" t="str">
        <f>CONCATENATE("16.11.2012.",CHAR(10),"od dana obostranog potpisa ugovora do konačnog izvršenja usluge")</f>
        <v>16.11.2012.
od dana obostranog potpisa ugovora do konačnog izvršenja usluge</v>
      </c>
      <c r="H533" s="1" t="str">
        <f>CONCATENATE("METRONET TELEKOMUNIKACIJE D.D., ZAGREB")</f>
        <v>METRONET TELEKOMUNIKACIJE D.D., ZAGREB</v>
      </c>
      <c r="I533" s="1" t="s">
        <v>281</v>
      </c>
      <c r="J533" s="1" t="str">
        <f>SUBSTITUTE(SUBSTITUTE(SUBSTITUTE("276,252.50",".","-"),",","."),"-",",")</f>
        <v>276.252,50</v>
      </c>
      <c r="K533" s="2"/>
    </row>
    <row r="534" spans="1:11" ht="47.25" x14ac:dyDescent="0.25">
      <c r="A534" s="1" t="str">
        <f>"515/2012"</f>
        <v>515/2012</v>
      </c>
      <c r="B534" s="1" t="s">
        <v>14</v>
      </c>
      <c r="C534" s="1" t="s">
        <v>1884</v>
      </c>
      <c r="D534" s="1" t="str">
        <f>CONCATENATE("422-2012-EMV",CHAR(10),"2012/S 002-0051193 od 14.08.2012.")</f>
        <v>422-2012-EMV
2012/S 002-0051193 od 14.08.2012.</v>
      </c>
      <c r="E534" s="1" t="s">
        <v>15</v>
      </c>
      <c r="F534" s="1" t="str">
        <f>"1.490.490,00"</f>
        <v>1.490.490,00</v>
      </c>
      <c r="G534" s="1" t="str">
        <f>CONCATENATE("16.11.2012.",CHAR(10),"2 mjeseca računajući od dana uvođenja u posao")</f>
        <v>16.11.2012.
2 mjeseca računajući od dana uvođenja u posao</v>
      </c>
      <c r="H534" s="1" t="str">
        <f>CONCATENATE("O.K.I. MONT D.O.O., ZAGREB",CHAR(10),"KEMIS-TERMOCLEAN D.O.O., ZAGREB")</f>
        <v>O.K.I. MONT D.O.O., ZAGREB
KEMIS-TERMOCLEAN D.O.O., ZAGREB</v>
      </c>
      <c r="I534" s="1" t="s">
        <v>213</v>
      </c>
      <c r="J534" s="1" t="str">
        <f>SUBSTITUTE(SUBSTITUTE(SUBSTITUTE("1,844,194.01",".","-"),",","."),"-",",")</f>
        <v>1.844.194,01</v>
      </c>
      <c r="K534" s="2"/>
    </row>
    <row r="535" spans="1:11" ht="47.25" x14ac:dyDescent="0.25">
      <c r="A535" s="1" t="str">
        <f>"516/2012"</f>
        <v>516/2012</v>
      </c>
      <c r="B535" s="1" t="s">
        <v>14</v>
      </c>
      <c r="C535" s="1" t="s">
        <v>1885</v>
      </c>
      <c r="D535" s="1" t="str">
        <f>CONCATENATE("1939-2012-EMV",CHAR(10),"2012/S 002-0053539 od 24.08.2012.")</f>
        <v>1939-2012-EMV
2012/S 002-0053539 od 24.08.2012.</v>
      </c>
      <c r="E535" s="1" t="s">
        <v>15</v>
      </c>
      <c r="F535" s="1" t="str">
        <f>"73.525,50"</f>
        <v>73.525,50</v>
      </c>
      <c r="G535" s="1" t="str">
        <f>CONCATENATE("16.11.2012.",CHAR(10),"60 dana računajući od dana uvođenja u posao")</f>
        <v>16.11.2012.
60 dana računajući od dana uvođenja u posao</v>
      </c>
      <c r="H535" s="1" t="str">
        <f>CONCATENATE("O.K.I. MONT D.O.O., ZAGREB",CHAR(10),"KEMIS-TERMOCLEAN D.O.O., ZAGREB")</f>
        <v>O.K.I. MONT D.O.O., ZAGREB
KEMIS-TERMOCLEAN D.O.O., ZAGREB</v>
      </c>
      <c r="I535" s="1" t="s">
        <v>80</v>
      </c>
      <c r="J535" s="1" t="str">
        <f>SUBSTITUTE(SUBSTITUTE(SUBSTITUTE("82,237.19",".","-"),",","."),"-",",")</f>
        <v>82.237,19</v>
      </c>
      <c r="K535" s="2"/>
    </row>
    <row r="536" spans="1:11" ht="63" x14ac:dyDescent="0.25">
      <c r="A536" s="1" t="str">
        <f>"517/2012"</f>
        <v>517/2012</v>
      </c>
      <c r="B536" s="1" t="s">
        <v>14</v>
      </c>
      <c r="C536" s="1" t="s">
        <v>1886</v>
      </c>
      <c r="D536" s="1" t="str">
        <f>CONCATENATE("1105-2012-EMV",CHAR(10),"2012/S 002-0052468 od 21.08.2012.")</f>
        <v>1105-2012-EMV
2012/S 002-0052468 od 21.08.2012.</v>
      </c>
      <c r="E536" s="1" t="s">
        <v>15</v>
      </c>
      <c r="F536" s="1" t="str">
        <f>"108.000,00"</f>
        <v>108.000,00</v>
      </c>
      <c r="G536" s="1" t="str">
        <f>CONCATENATE("20.11.2012.",CHAR(10),"u roku od 60 dana, računajući od dana obostranog potpisa Ugovora")</f>
        <v>20.11.2012.
u roku od 60 dana, računajući od dana obostranog potpisa Ugovora</v>
      </c>
      <c r="H536" s="1" t="str">
        <f>CONCATENATE("BRODARSKI INSTITUT D.O.O., ZAGREB-NOVI ZAGREB",CHAR(10),"3K D.O.O., ZAGREB")</f>
        <v>BRODARSKI INSTITUT D.O.O., ZAGREB-NOVI ZAGREB
3K D.O.O., ZAGREB</v>
      </c>
      <c r="I536" s="1" t="s">
        <v>282</v>
      </c>
      <c r="J536" s="1" t="str">
        <f>SUBSTITUTE(SUBSTITUTE(SUBSTITUTE("120,825.00",".","-"),",","."),"-",",")</f>
        <v>120.825,00</v>
      </c>
      <c r="K536" s="2"/>
    </row>
    <row r="537" spans="1:11" ht="63" x14ac:dyDescent="0.25">
      <c r="A537" s="1" t="str">
        <f>"A-18/2012"</f>
        <v>A-18/2012</v>
      </c>
      <c r="B537" s="1" t="s">
        <v>11</v>
      </c>
      <c r="C537" s="1" t="s">
        <v>1887</v>
      </c>
      <c r="D537" s="1" t="str">
        <f>"842-2012-EMV"</f>
        <v>842-2012-EMV</v>
      </c>
      <c r="E537" s="2"/>
      <c r="F537" s="1" t="str">
        <f>"0,00"</f>
        <v>0,00</v>
      </c>
      <c r="G537" s="1" t="str">
        <f>CONCATENATE("20.11.2012.",CHAR(10),"do 15. prosinca 2012.")</f>
        <v>20.11.2012.
do 15. prosinca 2012.</v>
      </c>
      <c r="H537" s="1" t="str">
        <f>CONCATENATE("SIGNAL SISTEM D.O.O., PULA")</f>
        <v>SIGNAL SISTEM D.O.O., PULA</v>
      </c>
      <c r="I537" s="2"/>
      <c r="J537" s="1"/>
      <c r="K537" s="2"/>
    </row>
    <row r="538" spans="1:11" ht="47.25" x14ac:dyDescent="0.25">
      <c r="A538" s="1" t="str">
        <f>"518/2012"</f>
        <v>518/2012</v>
      </c>
      <c r="B538" s="1" t="s">
        <v>14</v>
      </c>
      <c r="C538" s="1" t="s">
        <v>1888</v>
      </c>
      <c r="D538" s="1" t="str">
        <f>CONCATENATE("1885-2012-EMV",CHAR(10),"2012/S 002-0047369 od 02.08.2012.")</f>
        <v>1885-2012-EMV
2012/S 002-0047369 od 02.08.2012.</v>
      </c>
      <c r="E538" s="1" t="s">
        <v>15</v>
      </c>
      <c r="F538" s="1" t="str">
        <f>"547.459,27"</f>
        <v>547.459,27</v>
      </c>
      <c r="G538" s="1" t="str">
        <f>CONCATENATE("20.11.2012.",CHAR(10),"60 dana, računajući od dana uvođenja u posao")</f>
        <v>20.11.2012.
60 dana, računajući od dana uvođenja u posao</v>
      </c>
      <c r="H538" s="1" t="str">
        <f>CONCATENATE("BOLČEVIĆ GRADNJA D.O.O., SESVETE-KRALJEVEC",CHAR(10),"MGV D.O.O., ZAGREB")</f>
        <v>BOLČEVIĆ GRADNJA D.O.O., SESVETE-KRALJEVEC
MGV D.O.O., ZAGREB</v>
      </c>
      <c r="I538" s="1" t="s">
        <v>283</v>
      </c>
      <c r="J538" s="1" t="str">
        <f>SUBSTITUTE(SUBSTITUTE(SUBSTITUTE("684,324.09",".","-"),",","."),"-",",")</f>
        <v>684.324,09</v>
      </c>
      <c r="K538" s="2"/>
    </row>
    <row r="539" spans="1:11" ht="47.25" x14ac:dyDescent="0.25">
      <c r="A539" s="1" t="str">
        <f>"519/2012"</f>
        <v>519/2012</v>
      </c>
      <c r="B539" s="1" t="s">
        <v>14</v>
      </c>
      <c r="C539" s="1" t="s">
        <v>1889</v>
      </c>
      <c r="D539" s="1" t="str">
        <f>CONCATENATE("2106-2012-EMV",CHAR(10),"2012/S 015-0078099 od 08.11.2012.")</f>
        <v>2106-2012-EMV
2012/S 015-0078099 od 08.11.2012.</v>
      </c>
      <c r="E539" s="1" t="s">
        <v>12</v>
      </c>
      <c r="F539" s="1" t="str">
        <f>"197.084,16"</f>
        <v>197.084,16</v>
      </c>
      <c r="G539" s="1" t="str">
        <f>CONCATENATE("20.11.2012.",CHAR(10),"50 dana, računajući od dana uvođenja u posao")</f>
        <v>20.11.2012.
50 dana, računajući od dana uvođenja u posao</v>
      </c>
      <c r="H539" s="1" t="str">
        <f>CONCATENATE("HM-PATRIA D.O.O., ZAGREB")</f>
        <v>HM-PATRIA D.O.O., ZAGREB</v>
      </c>
      <c r="I539" s="1" t="s">
        <v>132</v>
      </c>
      <c r="J539" s="1" t="str">
        <f>SUBSTITUTE(SUBSTITUTE(SUBSTITUTE("246,355.20",".","-"),",","."),"-",",")</f>
        <v>246.355,20</v>
      </c>
      <c r="K539" s="2"/>
    </row>
    <row r="540" spans="1:11" ht="78.75" x14ac:dyDescent="0.25">
      <c r="A540" s="1" t="str">
        <f>"A-19/2012"</f>
        <v>A-19/2012</v>
      </c>
      <c r="B540" s="1" t="s">
        <v>11</v>
      </c>
      <c r="C540" s="1" t="s">
        <v>1890</v>
      </c>
      <c r="D540" s="1" t="str">
        <f>"845-2012-EMV"</f>
        <v>845-2012-EMV</v>
      </c>
      <c r="E540" s="2"/>
      <c r="F540" s="1" t="str">
        <f>"0,00"</f>
        <v>0,00</v>
      </c>
      <c r="G540" s="1" t="str">
        <f>CONCATENATE("20.11.2012.",CHAR(10),"do 15.12.2012.")</f>
        <v>20.11.2012.
do 15.12.2012.</v>
      </c>
      <c r="H540" s="1" t="str">
        <f>CONCATENATE("GIP PIONIR D.O.O., ZAGREB")</f>
        <v>GIP PIONIR D.O.O., ZAGREB</v>
      </c>
      <c r="I540" s="2"/>
      <c r="J540" s="1"/>
      <c r="K540" s="2"/>
    </row>
    <row r="541" spans="1:11" ht="47.25" x14ac:dyDescent="0.25">
      <c r="A541" s="1" t="str">
        <f>"520/2012"</f>
        <v>520/2012</v>
      </c>
      <c r="B541" s="1" t="s">
        <v>14</v>
      </c>
      <c r="C541" s="1" t="s">
        <v>1891</v>
      </c>
      <c r="D541" s="1" t="str">
        <f>CONCATENATE("393-2012-EMV",CHAR(10),"2012/S 002-0044907 od 27.07.2012.")</f>
        <v>393-2012-EMV
2012/S 002-0044907 od 27.07.2012.</v>
      </c>
      <c r="E541" s="1" t="s">
        <v>15</v>
      </c>
      <c r="F541" s="1" t="str">
        <f>"417.665,21"</f>
        <v>417.665,21</v>
      </c>
      <c r="G541" s="1" t="str">
        <f>CONCATENATE("21.11.2012.",CHAR(10),"70 dana od dana uvođenja u posao")</f>
        <v>21.11.2012.
70 dana od dana uvođenja u posao</v>
      </c>
      <c r="H541" s="1" t="str">
        <f>CONCATENATE("GRADIMONT D.O.O., ZAGREB")</f>
        <v>GRADIMONT D.O.O., ZAGREB</v>
      </c>
      <c r="I541" s="1" t="s">
        <v>284</v>
      </c>
      <c r="J541" s="1" t="str">
        <f>SUBSTITUTE(SUBSTITUTE(SUBSTITUTE("521,814.60",".","-"),",","."),"-",",")</f>
        <v>521.814,60</v>
      </c>
      <c r="K541" s="2"/>
    </row>
    <row r="542" spans="1:11" ht="63" x14ac:dyDescent="0.25">
      <c r="A542" s="1" t="str">
        <f>"A-20/2012"</f>
        <v>A-20/2012</v>
      </c>
      <c r="B542" s="1" t="s">
        <v>11</v>
      </c>
      <c r="C542" s="1" t="s">
        <v>1892</v>
      </c>
      <c r="D542" s="1" t="str">
        <f>"840-2012-EMV"</f>
        <v>840-2012-EMV</v>
      </c>
      <c r="E542" s="2"/>
      <c r="F542" s="1" t="str">
        <f>"0,00"</f>
        <v>0,00</v>
      </c>
      <c r="G542" s="1" t="str">
        <f>CONCATENATE("22.11.2012.",CHAR(10),"do 15.12.2012.")</f>
        <v>22.11.2012.
do 15.12.2012.</v>
      </c>
      <c r="H542" s="1" t="str">
        <f>CONCATENATE("MONTEL D.O.O., ZAGREB")</f>
        <v>MONTEL D.O.O., ZAGREB</v>
      </c>
      <c r="I542" s="2"/>
      <c r="J542" s="1"/>
      <c r="K542" s="2"/>
    </row>
    <row r="543" spans="1:11" ht="47.25" x14ac:dyDescent="0.25">
      <c r="A543" s="1" t="str">
        <f>"521/2012"</f>
        <v>521/2012</v>
      </c>
      <c r="B543" s="1" t="s">
        <v>14</v>
      </c>
      <c r="C543" s="1" t="s">
        <v>1893</v>
      </c>
      <c r="D543" s="1" t="str">
        <f>CONCATENATE("1947-2012-EMV",CHAR(10),"2012/S 002-0053676 od 24.08.2012.")</f>
        <v>1947-2012-EMV
2012/S 002-0053676 od 24.08.2012.</v>
      </c>
      <c r="E543" s="1" t="s">
        <v>15</v>
      </c>
      <c r="F543" s="1" t="str">
        <f>"52.000,00"</f>
        <v>52.000,00</v>
      </c>
      <c r="G543" s="1" t="str">
        <f>CONCATENATE("22.11.2012.",CHAR(10),"90 dana, računajući od dana obostranog potpisa Ugovora")</f>
        <v>22.11.2012.
90 dana, računajući od dana obostranog potpisa Ugovora</v>
      </c>
      <c r="H543" s="1" t="str">
        <f>CONCATENATE("JURCON PROJEKT D.O.O., ZAGREB",CHAR(10),"GEODIST D.O.O., ZAGREB")</f>
        <v>JURCON PROJEKT D.O.O., ZAGREB
GEODIST D.O.O., ZAGREB</v>
      </c>
      <c r="I543" s="2"/>
      <c r="J543" s="1"/>
      <c r="K543" s="2"/>
    </row>
    <row r="544" spans="1:11" ht="78.75" x14ac:dyDescent="0.25">
      <c r="A544" s="1" t="str">
        <f>"522/2012"</f>
        <v>522/2012</v>
      </c>
      <c r="B544" s="1" t="s">
        <v>14</v>
      </c>
      <c r="C544" s="1" t="s">
        <v>1894</v>
      </c>
      <c r="D544" s="1" t="str">
        <f>CONCATENATE("778-2012-EVV",CHAR(10),"2012/S 002-0045563 od 30.07.2012.")</f>
        <v>778-2012-EVV
2012/S 002-0045563 od 30.07.2012.</v>
      </c>
      <c r="E544" s="1" t="s">
        <v>15</v>
      </c>
      <c r="F544" s="1" t="str">
        <f>"1.826.317,00"</f>
        <v>1.826.317,00</v>
      </c>
      <c r="G544" s="1" t="str">
        <f>CONCATENATE("26.11.2012.",CHAR(10),"suk. po obostranom potpisu ugovora prema kont. pis. nalozima naruč. do kon. ug. uz rok do 10 dana")</f>
        <v>26.11.2012.
suk. po obostranom potpisu ugovora prema kont. pis. nalozima naruč. do kon. ug. uz rok do 10 dana</v>
      </c>
      <c r="H544" s="1" t="str">
        <f>CONCATENATE("ELEKTROKOVINA D.O.O., HRVATSKI LESKOVAC")</f>
        <v>ELEKTROKOVINA D.O.O., HRVATSKI LESKOVAC</v>
      </c>
      <c r="I544" s="1" t="s">
        <v>60</v>
      </c>
      <c r="J544" s="1" t="str">
        <f>SUBSTITUTE(SUBSTITUTE(SUBSTITUTE("2,280,096.25",".","-"),",","."),"-",",")</f>
        <v>2.280.096,25</v>
      </c>
      <c r="K544" s="2"/>
    </row>
    <row r="545" spans="1:11" ht="47.25" x14ac:dyDescent="0.25">
      <c r="A545" s="1" t="str">
        <f>"523/2012"</f>
        <v>523/2012</v>
      </c>
      <c r="B545" s="1" t="s">
        <v>14</v>
      </c>
      <c r="C545" s="1" t="s">
        <v>1895</v>
      </c>
      <c r="D545" s="1" t="str">
        <f>CONCATENATE("1087-2012-EMV",CHAR(10),"2012/S 002-0021472 od 21.05.2012.")</f>
        <v>1087-2012-EMV
2012/S 002-0021472 od 21.05.2012.</v>
      </c>
      <c r="E545" s="1" t="s">
        <v>15</v>
      </c>
      <c r="F545" s="1" t="str">
        <f>"447.921,00"</f>
        <v>447.921,00</v>
      </c>
      <c r="G545" s="1" t="str">
        <f>CONCATENATE("26.11.2012.",CHAR(10),"90 dana od dana uvođenja u posao")</f>
        <v>26.11.2012.
90 dana od dana uvođenja u posao</v>
      </c>
      <c r="H545" s="1" t="str">
        <f>CONCATENATE("RANUS D.O.O., ZAGREB")</f>
        <v>RANUS D.O.O., ZAGREB</v>
      </c>
      <c r="I545" s="1" t="s">
        <v>285</v>
      </c>
      <c r="J545" s="1" t="str">
        <f>SUBSTITUTE(SUBSTITUTE(SUBSTITUTE("548,771.11",".","-"),",","."),"-",",")</f>
        <v>548.771,11</v>
      </c>
      <c r="K545" s="2"/>
    </row>
    <row r="546" spans="1:11" ht="47.25" x14ac:dyDescent="0.25">
      <c r="A546" s="1" t="str">
        <f>"524/2012"</f>
        <v>524/2012</v>
      </c>
      <c r="B546" s="1" t="s">
        <v>14</v>
      </c>
      <c r="C546" s="1" t="s">
        <v>1896</v>
      </c>
      <c r="D546" s="1" t="str">
        <f>CONCATENATE("2492-2012-EMV",CHAR(10),"2012/S 002-0051269 od 16.08.2012.")</f>
        <v>2492-2012-EMV
2012/S 002-0051269 od 16.08.2012.</v>
      </c>
      <c r="E546" s="1" t="s">
        <v>15</v>
      </c>
      <c r="F546" s="1" t="str">
        <f>"58.000,00"</f>
        <v>58.000,00</v>
      </c>
      <c r="G546" s="1" t="str">
        <f>CONCATENATE("27.11.2012.",CHAR(10),"u roku od 1 mjeseca od dana obostranog potpisa Ugovora")</f>
        <v>27.11.2012.
u roku od 1 mjeseca od dana obostranog potpisa Ugovora</v>
      </c>
      <c r="H546" s="1" t="str">
        <f>CONCATENATE("EKO-PLAN D.O.O., ZAGREB",CHAR(10),"LAUREUS PROJEKT D.O.O., ZAGREB",CHAR(10),"DRUGI FORMAT D.O.O., ZAGREB")</f>
        <v>EKO-PLAN D.O.O., ZAGREB
LAUREUS PROJEKT D.O.O., ZAGREB
DRUGI FORMAT D.O.O., ZAGREB</v>
      </c>
      <c r="I546" s="2"/>
      <c r="J546" s="1"/>
      <c r="K546" s="2"/>
    </row>
    <row r="547" spans="1:11" ht="78.75" x14ac:dyDescent="0.25">
      <c r="A547" s="1" t="str">
        <f>"A-21/2012"</f>
        <v>A-21/2012</v>
      </c>
      <c r="B547" s="1" t="s">
        <v>11</v>
      </c>
      <c r="C547" s="1" t="s">
        <v>1897</v>
      </c>
      <c r="D547" s="1" t="str">
        <f>"427-2012-EMV"</f>
        <v>427-2012-EMV</v>
      </c>
      <c r="E547" s="2"/>
      <c r="F547" s="1" t="str">
        <f>"0,00"</f>
        <v>0,00</v>
      </c>
      <c r="G547" s="1" t="str">
        <f>CONCATENATE("27.11.2012.",CHAR(10),"u roku od 75 dana od dana obostranog potpisa osnovnog ug. tj. do završetka građ. obrtničkih radova")</f>
        <v>27.11.2012.
u roku od 75 dana od dana obostranog potpisa osnovnog ug. tj. do završetka građ. obrtničkih radova</v>
      </c>
      <c r="H547" s="1" t="str">
        <f>CONCATENATE("PROKLIMA-TIM D.O.O., ZAGREB")</f>
        <v>PROKLIMA-TIM D.O.O., ZAGREB</v>
      </c>
      <c r="I547" s="2"/>
      <c r="J547" s="1"/>
      <c r="K547" s="2"/>
    </row>
    <row r="548" spans="1:11" ht="63" x14ac:dyDescent="0.25">
      <c r="A548" s="1" t="str">
        <f>"525/2012"</f>
        <v>525/2012</v>
      </c>
      <c r="B548" s="1" t="s">
        <v>14</v>
      </c>
      <c r="C548" s="1" t="s">
        <v>1898</v>
      </c>
      <c r="D548" s="1" t="str">
        <f>CONCATENATE("2448-2012-EMV",CHAR(10),"2012/S 002-0059518 od 12.09.2012.")</f>
        <v>2448-2012-EMV
2012/S 002-0059518 od 12.09.2012.</v>
      </c>
      <c r="E548" s="1" t="s">
        <v>15</v>
      </c>
      <c r="F548" s="1" t="str">
        <f>"380.200,00"</f>
        <v>380.200,00</v>
      </c>
      <c r="G548" s="1" t="str">
        <f>CONCATENATE("27.11.2012.",CHAR(10),"u roku od mjesec dana, računajući od dana uvođenja u posao")</f>
        <v>27.11.2012.
u roku od mjesec dana, računajući od dana uvođenja u posao</v>
      </c>
      <c r="H548" s="1" t="str">
        <f>CONCATENATE("M. SOLDO D.O.O., ZAGREB",CHAR(10),"GEOGIS D.O.O., ZAGREB")</f>
        <v>M. SOLDO D.O.O., ZAGREB
GEOGIS D.O.O., ZAGREB</v>
      </c>
      <c r="I548" s="2"/>
      <c r="J548" s="1"/>
      <c r="K548" s="2"/>
    </row>
    <row r="549" spans="1:11" ht="47.25" x14ac:dyDescent="0.25">
      <c r="A549" s="1" t="str">
        <f>"526/2012"</f>
        <v>526/2012</v>
      </c>
      <c r="B549" s="1" t="s">
        <v>14</v>
      </c>
      <c r="C549" s="1" t="s">
        <v>1899</v>
      </c>
      <c r="D549" s="1" t="str">
        <f>CONCATENATE("138-2012-EMV",CHAR(10),"2012/S 002-0057972 od 07.09.2012.")</f>
        <v>138-2012-EMV
2012/S 002-0057972 od 07.09.2012.</v>
      </c>
      <c r="E549" s="1" t="s">
        <v>15</v>
      </c>
      <c r="F549" s="1" t="str">
        <f>"278.950,00"</f>
        <v>278.950,00</v>
      </c>
      <c r="G549" s="1" t="str">
        <f>CONCATENATE("27.11.2012.",CHAR(10),"tijekom 12 mjeseci, računajući od dana potpisa Ugovora")</f>
        <v>27.11.2012.
tijekom 12 mjeseci, računajući od dana potpisa Ugovora</v>
      </c>
      <c r="H549" s="1" t="str">
        <f>CONCATENATE("COMBIS D.O.O., ZAGREB")</f>
        <v>COMBIS D.O.O., ZAGREB</v>
      </c>
      <c r="I549" s="1" t="s">
        <v>248</v>
      </c>
      <c r="J549" s="1" t="str">
        <f>SUBSTITUTE(SUBSTITUTE(SUBSTITUTE("348,687.50",".","-"),",","."),"-",",")</f>
        <v>348.687,50</v>
      </c>
      <c r="K549" s="2"/>
    </row>
    <row r="550" spans="1:11" ht="63" x14ac:dyDescent="0.25">
      <c r="A550" s="1" t="str">
        <f>"527/2012"</f>
        <v>527/2012</v>
      </c>
      <c r="B550" s="1" t="s">
        <v>14</v>
      </c>
      <c r="C550" s="1" t="s">
        <v>1900</v>
      </c>
      <c r="D550" s="1" t="str">
        <f>CONCATENATE("1901-2012-EMV",CHAR(10),"2012/S 002-0058992 od 11.09.2012.")</f>
        <v>1901-2012-EMV
2012/S 002-0058992 od 11.09.2012.</v>
      </c>
      <c r="E550" s="1" t="s">
        <v>15</v>
      </c>
      <c r="F550" s="1" t="str">
        <f>"39.000,00"</f>
        <v>39.000,00</v>
      </c>
      <c r="G550" s="1" t="str">
        <f>CONCATENATE("27.11.2012.",CHAR(10),"u roku od 6 mjeseci od dana obostranog potpisa Ugovora")</f>
        <v>27.11.2012.
u roku od 6 mjeseci od dana obostranog potpisa Ugovora</v>
      </c>
      <c r="H550" s="1" t="str">
        <f>CONCATENATE("EKO-PLAN D.O.O., ZAGREB",CHAR(10),"GEOPROJEKT D.O.O., ZAGREB",CHAR(10),"I.B.R. INŽENJERING CIRKOVIĆ D.O.O., ZAGREB")</f>
        <v>EKO-PLAN D.O.O., ZAGREB
GEOPROJEKT D.O.O., ZAGREB
I.B.R. INŽENJERING CIRKOVIĆ D.O.O., ZAGREB</v>
      </c>
      <c r="I550" s="2"/>
      <c r="J550" s="1"/>
      <c r="K550" s="2"/>
    </row>
    <row r="551" spans="1:11" ht="126" x14ac:dyDescent="0.25">
      <c r="A551" s="1" t="str">
        <f>"528/2012"</f>
        <v>528/2012</v>
      </c>
      <c r="B551" s="1" t="s">
        <v>14</v>
      </c>
      <c r="C551" s="1" t="s">
        <v>1901</v>
      </c>
      <c r="D551" s="1" t="str">
        <f>CONCATENATE("1969-2012-EMV",CHAR(10),"2012/S 002-0056725 od 04.09.2012.")</f>
        <v>1969-2012-EMV
2012/S 002-0056725 od 04.09.2012.</v>
      </c>
      <c r="E551" s="1" t="s">
        <v>15</v>
      </c>
      <c r="F551" s="1" t="str">
        <f>"114.000,00"</f>
        <v>114.000,00</v>
      </c>
      <c r="G551" s="1" t="str">
        <f>CONCATENATE("27.11.2012.",CHAR(10),"u roku od 180 dana od dana obostranog potpisa Ugovora")</f>
        <v>27.11.2012.
u roku od 180 dana od dana obostranog potpisa Ugovora</v>
      </c>
      <c r="H551" s="1" t="str">
        <f>CONCATENATE("EKO-PLAN D.O.O., ZAGREB",CHAR(10),"GEOPROJEKT D.O.O., ZAGREB")</f>
        <v>EKO-PLAN D.O.O., ZAGREB
GEOPROJEKT D.O.O., ZAGREB</v>
      </c>
      <c r="I551" s="2"/>
      <c r="J551" s="1"/>
      <c r="K551" s="2"/>
    </row>
    <row r="552" spans="1:11" ht="78.75" x14ac:dyDescent="0.25">
      <c r="A552" s="1" t="str">
        <f>"529/2012"</f>
        <v>529/2012</v>
      </c>
      <c r="B552" s="1" t="s">
        <v>136</v>
      </c>
      <c r="C552" s="1" t="s">
        <v>1902</v>
      </c>
      <c r="D552" s="1" t="str">
        <f>CONCATENATE("298-2012-EVV",CHAR(10),"2012/S 002-0044024 od 25.07.2012.")</f>
        <v>298-2012-EVV
2012/S 002-0044024 od 25.07.2012.</v>
      </c>
      <c r="E552" s="1" t="s">
        <v>97</v>
      </c>
      <c r="F552" s="1" t="str">
        <f>"1.478.162,00"</f>
        <v>1.478.162,00</v>
      </c>
      <c r="G552" s="1" t="str">
        <f>CONCATENATE("28.11.2012.",CHAR(10),"2 godine")</f>
        <v>28.11.2012.
2 godine</v>
      </c>
      <c r="H552" s="1" t="str">
        <f>CONCATENATE("LUKOIL CROATIA D.O.O., ZAGREB",CHAR(10),"ENERGOSPEKTAR D.O.O., ZAGREB")</f>
        <v>LUKOIL CROATIA D.O.O., ZAGREB
ENERGOSPEKTAR D.O.O., ZAGREB</v>
      </c>
      <c r="I552" s="2"/>
      <c r="J552" s="1"/>
      <c r="K552" s="2"/>
    </row>
    <row r="553" spans="1:11" ht="78.75" x14ac:dyDescent="0.25">
      <c r="A553" s="1" t="str">
        <f>"530/2012"</f>
        <v>530/2012</v>
      </c>
      <c r="B553" s="1" t="s">
        <v>136</v>
      </c>
      <c r="C553" s="1" t="s">
        <v>1903</v>
      </c>
      <c r="D553" s="1" t="str">
        <f>CONCATENATE("298-2012-EVV",CHAR(10),"2012/S 002-0044024 od 25.07.2012.")</f>
        <v>298-2012-EVV
2012/S 002-0044024 od 25.07.2012.</v>
      </c>
      <c r="E553" s="1" t="s">
        <v>97</v>
      </c>
      <c r="F553" s="1" t="str">
        <f>"5.210.398,20"</f>
        <v>5.210.398,20</v>
      </c>
      <c r="G553" s="1" t="str">
        <f>CONCATENATE("28.11.2012.",CHAR(10),"2 godine")</f>
        <v>28.11.2012.
2 godine</v>
      </c>
      <c r="H553" s="1" t="str">
        <f>CONCATENATE("LUKOIL CROATIA D.O.O., ZAGREB",CHAR(10),"ENERGOSPEKTAR D.O.O., ZAGREB")</f>
        <v>LUKOIL CROATIA D.O.O., ZAGREB
ENERGOSPEKTAR D.O.O., ZAGREB</v>
      </c>
      <c r="I553" s="2"/>
      <c r="J553" s="1"/>
      <c r="K553" s="2"/>
    </row>
    <row r="554" spans="1:11" ht="78.75" x14ac:dyDescent="0.25">
      <c r="A554" s="1" t="str">
        <f>"531/2012"</f>
        <v>531/2012</v>
      </c>
      <c r="B554" s="1" t="s">
        <v>136</v>
      </c>
      <c r="C554" s="1" t="s">
        <v>1904</v>
      </c>
      <c r="D554" s="1" t="str">
        <f>CONCATENATE("298-2012-EVV",CHAR(10),"2012/S 002-0044024 od 25.07.2012.")</f>
        <v>298-2012-EVV
2012/S 002-0044024 od 25.07.2012.</v>
      </c>
      <c r="E554" s="1" t="s">
        <v>97</v>
      </c>
      <c r="F554" s="1" t="str">
        <f>"13.038.792,00"</f>
        <v>13.038.792,00</v>
      </c>
      <c r="G554" s="1" t="str">
        <f>CONCATENATE("28.11.2012.",CHAR(10),"2 godine")</f>
        <v>28.11.2012.
2 godine</v>
      </c>
      <c r="H554" s="1" t="str">
        <f>CONCATENATE("LUKOIL CROATIA D.O.O., ZAGREB",CHAR(10),"ENERGOSPEKTAR D.O.O., ZAGREB")</f>
        <v>LUKOIL CROATIA D.O.O., ZAGREB
ENERGOSPEKTAR D.O.O., ZAGREB</v>
      </c>
      <c r="I554" s="2"/>
      <c r="J554" s="1"/>
      <c r="K554" s="2"/>
    </row>
    <row r="555" spans="1:11" ht="78.75" x14ac:dyDescent="0.25">
      <c r="A555" s="1" t="str">
        <f>"532/2012"</f>
        <v>532/2012</v>
      </c>
      <c r="B555" s="1" t="s">
        <v>136</v>
      </c>
      <c r="C555" s="1" t="s">
        <v>1905</v>
      </c>
      <c r="D555" s="1" t="str">
        <f>CONCATENATE("298-2012-EVV",CHAR(10),"2012/S 002-0044024 od 25.07.2012.")</f>
        <v>298-2012-EVV
2012/S 002-0044024 od 25.07.2012.</v>
      </c>
      <c r="E555" s="1" t="s">
        <v>97</v>
      </c>
      <c r="F555" s="1" t="str">
        <f>"31.024.684,00"</f>
        <v>31.024.684,00</v>
      </c>
      <c r="G555" s="1" t="str">
        <f>CONCATENATE("28.11.2012.",CHAR(10),"2 godine")</f>
        <v>28.11.2012.
2 godine</v>
      </c>
      <c r="H555" s="1" t="str">
        <f>CONCATENATE("LUKOIL CROATIA D.O.O., ZAGREB",CHAR(10),"ENERGOSPEKTAR D.O.O., ZAGREB")</f>
        <v>LUKOIL CROATIA D.O.O., ZAGREB
ENERGOSPEKTAR D.O.O., ZAGREB</v>
      </c>
      <c r="I555" s="2"/>
      <c r="J555" s="1"/>
      <c r="K555" s="2"/>
    </row>
    <row r="556" spans="1:11" ht="47.25" x14ac:dyDescent="0.25">
      <c r="A556" s="1" t="str">
        <f>"A-22/2012"</f>
        <v>A-22/2012</v>
      </c>
      <c r="B556" s="1" t="s">
        <v>11</v>
      </c>
      <c r="C556" s="1" t="s">
        <v>1906</v>
      </c>
      <c r="D556" s="1" t="str">
        <f>"720-2012-EMV"</f>
        <v>720-2012-EMV</v>
      </c>
      <c r="E556" s="2"/>
      <c r="F556" s="1" t="str">
        <f>"0,00"</f>
        <v>0,00</v>
      </c>
      <c r="G556" s="1" t="str">
        <f>CONCATENATE("28.11.2012.",CHAR(10),"150 dana, računajući od dana uvođenja u posao")</f>
        <v>28.11.2012.
150 dana, računajući od dana uvođenja u posao</v>
      </c>
      <c r="H556" s="1" t="str">
        <f>CONCATENATE("NEVING D.O.O., ZAGREB")</f>
        <v>NEVING D.O.O., ZAGREB</v>
      </c>
      <c r="I556" s="2"/>
      <c r="J556" s="1"/>
      <c r="K556" s="2"/>
    </row>
    <row r="557" spans="1:11" ht="110.25" x14ac:dyDescent="0.25">
      <c r="A557" s="1" t="str">
        <f>"533/2012"</f>
        <v>533/2012</v>
      </c>
      <c r="B557" s="1" t="s">
        <v>14</v>
      </c>
      <c r="C557" s="1" t="s">
        <v>1907</v>
      </c>
      <c r="D557" s="1" t="str">
        <f>CONCATENATE("1968-2012-EMV",CHAR(10),"2012/S 002-0055660 od 31.08.2012.")</f>
        <v>1968-2012-EMV
2012/S 002-0055660 od 31.08.2012.</v>
      </c>
      <c r="E557" s="1" t="s">
        <v>15</v>
      </c>
      <c r="F557" s="1" t="str">
        <f>"126.400,00"</f>
        <v>126.400,00</v>
      </c>
      <c r="G557" s="1" t="str">
        <f>CONCATENATE("28.11.2012.",CHAR(10),"6 mjeseci, računajući od dana obostranog potpisa Ugovora")</f>
        <v>28.11.2012.
6 mjeseci, računajući od dana obostranog potpisa Ugovora</v>
      </c>
      <c r="H557" s="1" t="str">
        <f>CONCATENATE("INŽENJERSKI PROJEKTNI ZAVOD D.D., ZAGREB",CHAR(10),"GEO-BIM D.O.O., SAMOBOR")</f>
        <v>INŽENJERSKI PROJEKTNI ZAVOD D.D., ZAGREB
GEO-BIM D.O.O., SAMOBOR</v>
      </c>
      <c r="I557" s="2"/>
      <c r="J557" s="1"/>
      <c r="K557" s="2"/>
    </row>
    <row r="558" spans="1:11" ht="47.25" x14ac:dyDescent="0.25">
      <c r="A558" s="1" t="str">
        <f>"534/2012"</f>
        <v>534/2012</v>
      </c>
      <c r="B558" s="1" t="s">
        <v>14</v>
      </c>
      <c r="C558" s="1" t="s">
        <v>1908</v>
      </c>
      <c r="D558" s="1" t="str">
        <f>CONCATENATE("757-2012-EMV",CHAR(10),"2012/S 002-0030748 od 15.06.2012.")</f>
        <v>757-2012-EMV
2012/S 002-0030748 od 15.06.2012.</v>
      </c>
      <c r="E558" s="1" t="s">
        <v>15</v>
      </c>
      <c r="F558" s="1" t="str">
        <f>"546.269,50"</f>
        <v>546.269,50</v>
      </c>
      <c r="G558" s="1" t="str">
        <f>CONCATENATE("30.11.2012.",CHAR(10),"15 mjeseci, računajući od dana uvođenja u posao")</f>
        <v>30.11.2012.
15 mjeseci, računajući od dana uvođenja u posao</v>
      </c>
      <c r="H558" s="1" t="str">
        <f>CONCATENATE("TA-GRAD D.O.O., ZAGREB",CHAR(10),"TERRACOTTA D.O.O., ZAGREB")</f>
        <v>TA-GRAD D.O.O., ZAGREB
TERRACOTTA D.O.O., ZAGREB</v>
      </c>
      <c r="I558" s="1" t="s">
        <v>286</v>
      </c>
      <c r="J558" s="1" t="str">
        <f>SUBSTITUTE(SUBSTITUTE(SUBSTITUTE("666,056.50",".","-"),",","."),"-",",")</f>
        <v>666.056,50</v>
      </c>
      <c r="K558" s="2"/>
    </row>
    <row r="559" spans="1:11" ht="78.75" x14ac:dyDescent="0.25">
      <c r="A559" s="1" t="str">
        <f>"535/2012"</f>
        <v>535/2012</v>
      </c>
      <c r="B559" s="1" t="s">
        <v>136</v>
      </c>
      <c r="C559" s="1" t="s">
        <v>1909</v>
      </c>
      <c r="D559" s="1" t="str">
        <f>CONCATENATE("773-2012-EMV",CHAR(10),"2012/S 002-0051436 od 16.08.2012.")</f>
        <v>773-2012-EMV
2012/S 002-0051436 od 16.08.2012.</v>
      </c>
      <c r="E559" s="1" t="s">
        <v>97</v>
      </c>
      <c r="F559" s="1" t="str">
        <f>"99.791,00"</f>
        <v>99.791,00</v>
      </c>
      <c r="G559" s="1" t="str">
        <f>CONCATENATE("30.11.2012.",CHAR(10),"2 godine")</f>
        <v>30.11.2012.
2 godine</v>
      </c>
      <c r="H559" s="1" t="str">
        <f>CONCATENATE("MILAN UTOVIĆ DIPL ING., STALNI SUDSKI VJEŠTAK, ZAGREB")</f>
        <v>MILAN UTOVIĆ DIPL ING., STALNI SUDSKI VJEŠTAK, ZAGREB</v>
      </c>
      <c r="I559" s="2"/>
      <c r="J559" s="1"/>
      <c r="K559" s="2"/>
    </row>
    <row r="560" spans="1:11" ht="31.5" x14ac:dyDescent="0.25">
      <c r="A560" s="1" t="str">
        <f>"R-5/2012"</f>
        <v>R-5/2012</v>
      </c>
      <c r="B560" s="1" t="s">
        <v>56</v>
      </c>
      <c r="C560" s="1" t="s">
        <v>1910</v>
      </c>
      <c r="D560" s="1" t="str">
        <f>"1837-2012-EMV"</f>
        <v>1837-2012-EMV</v>
      </c>
      <c r="E560" s="2"/>
      <c r="F560" s="1" t="str">
        <f>"0,00"</f>
        <v>0,00</v>
      </c>
      <c r="G560" s="1" t="str">
        <f>"30.11.2012."</f>
        <v>30.11.2012.</v>
      </c>
      <c r="H560" s="1" t="str">
        <f>CONCATENATE("TIGRA D.O.O., ZAGREB",CHAR(10),"GEO-BIM D.O.O., SAMOBOR")</f>
        <v>TIGRA D.O.O., ZAGREB
GEO-BIM D.O.O., SAMOBOR</v>
      </c>
      <c r="I560" s="2"/>
      <c r="J560" s="1"/>
      <c r="K560" s="2"/>
    </row>
    <row r="561" spans="1:11" ht="63" x14ac:dyDescent="0.25">
      <c r="A561" s="1" t="str">
        <f>"537/2012"</f>
        <v>537/2012</v>
      </c>
      <c r="B561" s="1" t="s">
        <v>14</v>
      </c>
      <c r="C561" s="1" t="s">
        <v>1911</v>
      </c>
      <c r="D561" s="1" t="str">
        <f>CONCATENATE("2552-2012-EMV",CHAR(10),"2012/S 002-0056279 od 03.09.2012.")</f>
        <v>2552-2012-EMV
2012/S 002-0056279 od 03.09.2012.</v>
      </c>
      <c r="E561" s="1" t="s">
        <v>15</v>
      </c>
      <c r="F561" s="1" t="str">
        <f>"1.044.200,40"</f>
        <v>1.044.200,40</v>
      </c>
      <c r="G561" s="1" t="str">
        <f>CONCATENATE("30.11.2012.",CHAR(10),"50 dana, računajući od dana uvođenja u posao")</f>
        <v>30.11.2012.
50 dana, računajući od dana uvođenja u posao</v>
      </c>
      <c r="H561" s="1" t="str">
        <f>CONCATENATE("PRIGORAC-GRAĐENJE D.O.O., SESVETE",CHAR(10),"MGV D.O.O., ZAGREB",CHAR(10),"ELICOM D.O.O., ZAGREB")</f>
        <v>PRIGORAC-GRAĐENJE D.O.O., SESVETE
MGV D.O.O., ZAGREB
ELICOM D.O.O., ZAGREB</v>
      </c>
      <c r="I561" s="1" t="s">
        <v>287</v>
      </c>
      <c r="J561" s="1" t="str">
        <f>SUBSTITUTE(SUBSTITUTE(SUBSTITUTE("1,304,748.34",".","-"),",","."),"-",",")</f>
        <v>1.304.748,34</v>
      </c>
      <c r="K561" s="2"/>
    </row>
    <row r="562" spans="1:11" ht="47.25" x14ac:dyDescent="0.25">
      <c r="A562" s="1" t="str">
        <f>"538/2012"</f>
        <v>538/2012</v>
      </c>
      <c r="B562" s="1" t="s">
        <v>14</v>
      </c>
      <c r="C562" s="1" t="s">
        <v>1912</v>
      </c>
      <c r="D562" s="1" t="str">
        <f>CONCATENATE("250-2012-EVV",CHAR(10),"2012/S 015-0074008 od 25.10.2012.")</f>
        <v>250-2012-EVV
2012/S 015-0074008 od 25.10.2012.</v>
      </c>
      <c r="E562" s="1" t="s">
        <v>12</v>
      </c>
      <c r="F562" s="1" t="str">
        <f>"4.263.193,90"</f>
        <v>4.263.193,90</v>
      </c>
      <c r="G562" s="1" t="str">
        <f>CONCATENATE("30.11.2012.",CHAR(10),"tijekom 12 mjeseci od dana obostranog potpisa Ugovora")</f>
        <v>30.11.2012.
tijekom 12 mjeseci od dana obostranog potpisa Ugovora</v>
      </c>
      <c r="H562" s="1" t="str">
        <f>CONCATENATE("HP-HRVATSKA POŠTA D.D., ZAGREB")</f>
        <v>HP-HRVATSKA POŠTA D.D., ZAGREB</v>
      </c>
      <c r="I562" s="1" t="s">
        <v>288</v>
      </c>
      <c r="J562" s="1" t="str">
        <f>"4.367.993,90"</f>
        <v>4.367.993,90</v>
      </c>
      <c r="K562" s="2"/>
    </row>
    <row r="563" spans="1:11" ht="63" x14ac:dyDescent="0.25">
      <c r="A563" s="1" t="str">
        <f>"539/2012"</f>
        <v>539/2012</v>
      </c>
      <c r="B563" s="1" t="s">
        <v>14</v>
      </c>
      <c r="C563" s="1" t="s">
        <v>1913</v>
      </c>
      <c r="D563" s="1" t="str">
        <f>CONCATENATE("1930-2012-EMV",CHAR(10),"2012/S 002-0056908 od 05.09.2012.")</f>
        <v>1930-2012-EMV
2012/S 002-0056908 od 05.09.2012.</v>
      </c>
      <c r="E563" s="1" t="s">
        <v>15</v>
      </c>
      <c r="F563" s="1" t="str">
        <f>"28.000,00"</f>
        <v>28.000,00</v>
      </c>
      <c r="G563" s="1" t="str">
        <f>CONCATENATE("30.11.2012.",CHAR(10),"180 dana, računajući od dana obostranog potpisa Ugovora")</f>
        <v>30.11.2012.
180 dana, računajući od dana obostranog potpisa Ugovora</v>
      </c>
      <c r="H563" s="1" t="str">
        <f>CONCATENATE("EKO-PLAN D.O.O., ZAGREB",CHAR(10),"GEOPROJEKT D.O.O., ZAGREB")</f>
        <v>EKO-PLAN D.O.O., ZAGREB
GEOPROJEKT D.O.O., ZAGREB</v>
      </c>
      <c r="I563" s="2"/>
      <c r="J563" s="1"/>
      <c r="K563" s="2"/>
    </row>
    <row r="564" spans="1:11" ht="47.25" x14ac:dyDescent="0.25">
      <c r="A564" s="1" t="str">
        <f>"540/2012"</f>
        <v>540/2012</v>
      </c>
      <c r="B564" s="1" t="s">
        <v>14</v>
      </c>
      <c r="C564" s="1" t="s">
        <v>1914</v>
      </c>
      <c r="D564" s="1" t="str">
        <f>CONCATENATE("2562-2012-EMV",CHAR(10),"2012/S 002-0046233 od 31.07.2012.")</f>
        <v>2562-2012-EMV
2012/S 002-0046233 od 31.07.2012.</v>
      </c>
      <c r="E564" s="1" t="s">
        <v>15</v>
      </c>
      <c r="F564" s="1" t="str">
        <f>"824.550,65"</f>
        <v>824.550,65</v>
      </c>
      <c r="G564" s="1" t="str">
        <f>CONCATENATE("03.12.2012.",CHAR(10),"u roku od 45 dana, računajući od dana uvođenja u posao")</f>
        <v>03.12.2012.
u roku od 45 dana, računajući od dana uvođenja u posao</v>
      </c>
      <c r="H564" s="1" t="str">
        <f>CONCATENATE("ŠUŠKOVIĆ-GRAĐENJE D.O.O., ZAGREB",CHAR(10),"GEOANDA D.O.O., ZAGREB")</f>
        <v>ŠUŠKOVIĆ-GRAĐENJE D.O.O., ZAGREB
GEOANDA D.O.O., ZAGREB</v>
      </c>
      <c r="I564" s="1" t="s">
        <v>167</v>
      </c>
      <c r="J564" s="1" t="str">
        <f>SUBSTITUTE(SUBSTITUTE(SUBSTITUTE("1,029,858.57",".","-"),",","."),"-",",")</f>
        <v>1.029.858,57</v>
      </c>
      <c r="K564" s="2"/>
    </row>
    <row r="565" spans="1:11" ht="110.25" x14ac:dyDescent="0.25">
      <c r="A565" s="1" t="str">
        <f>"A-23/2012"</f>
        <v>A-23/2012</v>
      </c>
      <c r="B565" s="1" t="s">
        <v>11</v>
      </c>
      <c r="C565" s="1" t="s">
        <v>1915</v>
      </c>
      <c r="D565" s="1" t="str">
        <f>"838-2012-EMV"</f>
        <v>838-2012-EMV</v>
      </c>
      <c r="E565" s="2"/>
      <c r="F565" s="1" t="str">
        <f>"0,00"</f>
        <v>0,00</v>
      </c>
      <c r="G565" s="1" t="str">
        <f>CONCATENATE("03.12.2012.",CHAR(10),"do 15.12.2012.")</f>
        <v>03.12.2012.
do 15.12.2012.</v>
      </c>
      <c r="H565" s="1" t="str">
        <f>CONCATENATE("HIDROCOMMERCE D.O.O., GORNJI STUPNIK")</f>
        <v>HIDROCOMMERCE D.O.O., GORNJI STUPNIK</v>
      </c>
      <c r="I565" s="2"/>
      <c r="J565" s="1"/>
      <c r="K565" s="2"/>
    </row>
    <row r="566" spans="1:11" ht="47.25" x14ac:dyDescent="0.25">
      <c r="A566" s="1" t="str">
        <f>"541/2012"</f>
        <v>541/2012</v>
      </c>
      <c r="B566" s="1" t="s">
        <v>14</v>
      </c>
      <c r="C566" s="1" t="s">
        <v>1916</v>
      </c>
      <c r="D566" s="1" t="str">
        <f>CONCATENATE("727-2012-EMV",CHAR(10),"2012/S 002-0048256 od 06.08.2012.")</f>
        <v>727-2012-EMV
2012/S 002-0048256 od 06.08.2012.</v>
      </c>
      <c r="E566" s="1" t="s">
        <v>15</v>
      </c>
      <c r="F566" s="1" t="str">
        <f>"282.000,00"</f>
        <v>282.000,00</v>
      </c>
      <c r="G566" s="1" t="str">
        <f>CONCATENATE("04.12.2012.",CHAR(10),"240 dana, računajući od dana obostranog potpisa Ugovora")</f>
        <v>04.12.2012.
240 dana, računajući od dana obostranog potpisa Ugovora</v>
      </c>
      <c r="H566" s="1" t="str">
        <f>CONCATENATE("JURCON PROJEKT D.O.O., ZAGREB",CHAR(10),"GEODIST D.O.O., ZAGREB")</f>
        <v>JURCON PROJEKT D.O.O., ZAGREB
GEODIST D.O.O., ZAGREB</v>
      </c>
      <c r="I566" s="2"/>
      <c r="J566" s="1"/>
      <c r="K566" s="2"/>
    </row>
    <row r="567" spans="1:11" ht="63" x14ac:dyDescent="0.25">
      <c r="A567" s="1" t="str">
        <f>"542/2012"</f>
        <v>542/2012</v>
      </c>
      <c r="B567" s="1" t="s">
        <v>14</v>
      </c>
      <c r="C567" s="1" t="s">
        <v>1917</v>
      </c>
      <c r="D567" s="1" t="str">
        <f>CONCATENATE("134-2012-EVV",CHAR(10),"2012/S 015-0077253 od 07.11.2012.")</f>
        <v>134-2012-EVV
2012/S 015-0077253 od 07.11.2012.</v>
      </c>
      <c r="E567" s="1" t="s">
        <v>12</v>
      </c>
      <c r="F567" s="1" t="str">
        <f>"6.816.000,00"</f>
        <v>6.816.000,00</v>
      </c>
      <c r="G567" s="1" t="str">
        <f>CONCATENATE("05.12.2012.",CHAR(10),"odmah po obostranom potpisu Ugovora do konačnog izvršenja usluge")</f>
        <v>05.12.2012.
odmah po obostranom potpisu Ugovora do konačnog izvršenja usluge</v>
      </c>
      <c r="H567" s="1" t="str">
        <f>CONCATENATE("APIS IT D.O.O., ZAGREB")</f>
        <v>APIS IT D.O.O., ZAGREB</v>
      </c>
      <c r="I567" s="1" t="s">
        <v>229</v>
      </c>
      <c r="J567" s="1" t="str">
        <f>SUBSTITUTE(SUBSTITUTE(SUBSTITUTE("8,520,000.00",".","-"),",","."),"-",",")</f>
        <v>8.520.000,00</v>
      </c>
      <c r="K567" s="2"/>
    </row>
    <row r="568" spans="1:11" ht="47.25" x14ac:dyDescent="0.25">
      <c r="A568" s="1" t="str">
        <f>"543/2012"</f>
        <v>543/2012</v>
      </c>
      <c r="B568" s="1" t="s">
        <v>14</v>
      </c>
      <c r="C568" s="1" t="s">
        <v>1918</v>
      </c>
      <c r="D568" s="1" t="str">
        <f>CONCATENATE("1865-2012-EMV",CHAR(10),"2012/S 002-0056525 od 04.09.2012.")</f>
        <v>1865-2012-EMV
2012/S 002-0056525 od 04.09.2012.</v>
      </c>
      <c r="E568" s="1" t="s">
        <v>15</v>
      </c>
      <c r="F568" s="1" t="str">
        <f>"126.964,00"</f>
        <v>126.964,00</v>
      </c>
      <c r="G568" s="1" t="str">
        <f>CONCATENATE("05.12.2012.",CHAR(10),"30 dana, računajući od dana uvođenja u posao")</f>
        <v>05.12.2012.
30 dana, računajući od dana uvođenja u posao</v>
      </c>
      <c r="H568" s="1" t="str">
        <f>CONCATENATE("GRADIMONT D.O.O., ZAGREB")</f>
        <v>GRADIMONT D.O.O., ZAGREB</v>
      </c>
      <c r="I568" s="1" t="s">
        <v>275</v>
      </c>
      <c r="J568" s="1" t="str">
        <f>SUBSTITUTE(SUBSTITUTE(SUBSTITUTE("158,139.70",".","-"),",","."),"-",",")</f>
        <v>158.139,70</v>
      </c>
      <c r="K568" s="2"/>
    </row>
    <row r="569" spans="1:11" ht="47.25" x14ac:dyDescent="0.25">
      <c r="A569" s="1" t="str">
        <f>"544/2012"</f>
        <v>544/2012</v>
      </c>
      <c r="B569" s="1" t="s">
        <v>14</v>
      </c>
      <c r="C569" s="1" t="s">
        <v>1919</v>
      </c>
      <c r="D569" s="1" t="str">
        <f>CONCATENATE("402-2012-EMV",CHAR(10),"2012/S 002-0047454 od 02.08.2012.")</f>
        <v>402-2012-EMV
2012/S 002-0047454 od 02.08.2012.</v>
      </c>
      <c r="E569" s="1" t="s">
        <v>15</v>
      </c>
      <c r="F569" s="1" t="str">
        <f>"254.563,90"</f>
        <v>254.563,90</v>
      </c>
      <c r="G569" s="1" t="str">
        <f>CONCATENATE("05.12.2012.",CHAR(10),"70 dana od dana uvođenja u posao")</f>
        <v>05.12.2012.
70 dana od dana uvođenja u posao</v>
      </c>
      <c r="H569" s="1" t="str">
        <f>CONCATENATE("GRADIMONT D.O.O., ZAGREB")</f>
        <v>GRADIMONT D.O.O., ZAGREB</v>
      </c>
      <c r="I569" s="1" t="s">
        <v>98</v>
      </c>
      <c r="J569" s="1" t="str">
        <f>SUBSTITUTE(SUBSTITUTE(SUBSTITUTE("318,204.88",".","-"),",","."),"-",",")</f>
        <v>318.204,88</v>
      </c>
      <c r="K569" s="2"/>
    </row>
    <row r="570" spans="1:11" ht="63" x14ac:dyDescent="0.25">
      <c r="A570" s="1" t="str">
        <f>"545/2012"</f>
        <v>545/2012</v>
      </c>
      <c r="B570" s="1" t="s">
        <v>14</v>
      </c>
      <c r="C570" s="1" t="s">
        <v>1920</v>
      </c>
      <c r="D570" s="1" t="str">
        <f>CONCATENATE("1988-2012-EMV",CHAR(10),"2012/S 002-0056071 od 03.09.2012.")</f>
        <v>1988-2012-EMV
2012/S 002-0056071 od 03.09.2012.</v>
      </c>
      <c r="E570" s="1" t="s">
        <v>15</v>
      </c>
      <c r="F570" s="1" t="str">
        <f>"27.000,00"</f>
        <v>27.000,00</v>
      </c>
      <c r="G570" s="1" t="str">
        <f>CONCATENATE("05.12.2012.",CHAR(10),"3 mjeseca, računajući od dana obostranog potpisa Ugovora")</f>
        <v>05.12.2012.
3 mjeseca, računajući od dana obostranog potpisa Ugovora</v>
      </c>
      <c r="H570" s="1" t="str">
        <f>CONCATENATE("ARHINET D.O.O., ZAGREB",CHAR(10),"EKSPERTERM D.O.O., ZAGREB",CHAR(10),"ETS FARAGO D.O.O., ZAGREB",CHAR(10),"TENZOR D.O.O., ZAGREB")</f>
        <v>ARHINET D.O.O., ZAGREB
EKSPERTERM D.O.O., ZAGREB
ETS FARAGO D.O.O., ZAGREB
TENZOR D.O.O., ZAGREB</v>
      </c>
      <c r="I570" s="1" t="s">
        <v>289</v>
      </c>
      <c r="J570" s="1" t="str">
        <f>SUBSTITUTE(SUBSTITUTE(SUBSTITUTE("33,750.00",".","-"),",","."),"-",",")</f>
        <v>33.750,00</v>
      </c>
      <c r="K570" s="2"/>
    </row>
    <row r="571" spans="1:11" ht="47.25" x14ac:dyDescent="0.25">
      <c r="A571" s="1" t="str">
        <f>"546/2012"</f>
        <v>546/2012</v>
      </c>
      <c r="B571" s="1" t="s">
        <v>14</v>
      </c>
      <c r="C571" s="1" t="s">
        <v>1921</v>
      </c>
      <c r="D571" s="1" t="str">
        <f>CONCATENATE("392-2012-EMV",CHAR(10),"2012/S 002-0050402 od 10.08.2012.")</f>
        <v>392-2012-EMV
2012/S 002-0050402 od 10.08.2012.</v>
      </c>
      <c r="E571" s="1" t="s">
        <v>15</v>
      </c>
      <c r="F571" s="1" t="str">
        <f>"486.572,00"</f>
        <v>486.572,00</v>
      </c>
      <c r="G571" s="1" t="str">
        <f>CONCATENATE("05.12.2012.",CHAR(10),"2 mjeseca, računajući od dana uvođenja u posao")</f>
        <v>05.12.2012.
2 mjeseca, računajući od dana uvođenja u posao</v>
      </c>
      <c r="H571" s="1" t="str">
        <f>CONCATENATE("ĐURKIN D.O.O., ČAKOVEC")</f>
        <v>ĐURKIN D.O.O., ČAKOVEC</v>
      </c>
      <c r="I571" s="1" t="s">
        <v>283</v>
      </c>
      <c r="J571" s="1" t="str">
        <f>SUBSTITUTE(SUBSTITUTE(SUBSTITUTE("608,006.15",".","-"),",","."),"-",",")</f>
        <v>608.006,15</v>
      </c>
      <c r="K571" s="2"/>
    </row>
    <row r="572" spans="1:11" ht="47.25" x14ac:dyDescent="0.25">
      <c r="A572" s="1" t="str">
        <f>"547/2012"</f>
        <v>547/2012</v>
      </c>
      <c r="B572" s="1" t="s">
        <v>14</v>
      </c>
      <c r="C572" s="1" t="s">
        <v>1922</v>
      </c>
      <c r="D572" s="1" t="str">
        <f>CONCATENATE("2691-2012-EMV",CHAR(10),"2012/S 015-0082334. od 21.11.2012.")</f>
        <v>2691-2012-EMV
2012/S 015-0082334. od 21.11.2012.</v>
      </c>
      <c r="E572" s="1" t="s">
        <v>12</v>
      </c>
      <c r="F572" s="1" t="str">
        <f>"100.000,00"</f>
        <v>100.000,00</v>
      </c>
      <c r="G572" s="1" t="str">
        <f>CONCATENATE("06.12.2012.",CHAR(10),"60 dana, računajući od dana obostranog potpisa Ugovora")</f>
        <v>06.12.2012.
60 dana, računajući od dana obostranog potpisa Ugovora</v>
      </c>
      <c r="H572" s="1" t="str">
        <f>CONCATENATE("OIKON D.O.O., ZAGREB",CHAR(10),"INSTITUT IGH D.D., ZAGREB",CHAR(10),"IPZ UNIPROJEKT MCF D.O.O., ZAGREB")</f>
        <v>OIKON D.O.O., ZAGREB
INSTITUT IGH D.D., ZAGREB
IPZ UNIPROJEKT MCF D.O.O., ZAGREB</v>
      </c>
      <c r="I572" s="1" t="s">
        <v>58</v>
      </c>
      <c r="J572" s="1" t="str">
        <f>SUBSTITUTE(SUBSTITUTE(SUBSTITUTE("125,000.00",".","-"),",","."),"-",",")</f>
        <v>125.000,00</v>
      </c>
      <c r="K572" s="2"/>
    </row>
    <row r="573" spans="1:11" ht="63" x14ac:dyDescent="0.25">
      <c r="A573" s="1" t="str">
        <f>"548/2012"</f>
        <v>548/2012</v>
      </c>
      <c r="B573" s="1" t="s">
        <v>14</v>
      </c>
      <c r="C573" s="1" t="s">
        <v>1923</v>
      </c>
      <c r="D573" s="1" t="str">
        <f>"9-2012-EMV"</f>
        <v>9-2012-EMV</v>
      </c>
      <c r="E573" s="1" t="s">
        <v>40</v>
      </c>
      <c r="F573" s="1" t="str">
        <f>"1.109.046,00"</f>
        <v>1.109.046,00</v>
      </c>
      <c r="G573" s="1" t="str">
        <f>CONCATENATE("06.12.2012.",CHAR(10),"od dana obostranog potpisa Ugovora do konačnog izvršenja svih usluga")</f>
        <v>06.12.2012.
od dana obostranog potpisa Ugovora do konačnog izvršenja svih usluga</v>
      </c>
      <c r="H573" s="1" t="str">
        <f>CONCATENATE("KLINIČKA BOLNICA ''SVETI DUH'', ZAGREB")</f>
        <v>KLINIČKA BOLNICA ''SVETI DUH'', ZAGREB</v>
      </c>
      <c r="I573" s="1" t="s">
        <v>212</v>
      </c>
      <c r="J573" s="1" t="str">
        <f>SUBSTITUTE(SUBSTITUTE(SUBSTITUTE("57,024.00",".","-"),",","."),"-",",")</f>
        <v>57.024,00</v>
      </c>
      <c r="K573" s="2"/>
    </row>
    <row r="574" spans="1:11" ht="47.25" x14ac:dyDescent="0.25">
      <c r="A574" s="1" t="str">
        <f>"549/2012"</f>
        <v>549/2012</v>
      </c>
      <c r="B574" s="1" t="s">
        <v>26</v>
      </c>
      <c r="C574" s="1" t="s">
        <v>290</v>
      </c>
      <c r="D574" s="1" t="str">
        <f>"298-2012-EVV"</f>
        <v>298-2012-EVV</v>
      </c>
      <c r="E574" s="1" t="s">
        <v>27</v>
      </c>
      <c r="F574" s="1" t="str">
        <f>"311.192,00"</f>
        <v>311.192,00</v>
      </c>
      <c r="G574" s="1" t="str">
        <f>CONCATENATE("06.12.2012.",CHAR(10),"31.12.2012")</f>
        <v>06.12.2012.
31.12.2012</v>
      </c>
      <c r="H574" s="1" t="str">
        <f>CONCATENATE("LUKOIL CROATIA D.O.O., ZAGREB",CHAR(10),"ENERGOSPEKTAR D.O.O., ZAGREB")</f>
        <v>LUKOIL CROATIA D.O.O., ZAGREB
ENERGOSPEKTAR D.O.O., ZAGREB</v>
      </c>
      <c r="I574" s="1" t="s">
        <v>291</v>
      </c>
      <c r="J574" s="1" t="str">
        <f>SUBSTITUTE(SUBSTITUTE(SUBSTITUTE("334,605.98",".","-"),",","."),"-",",")</f>
        <v>334.605,98</v>
      </c>
      <c r="K574" s="2"/>
    </row>
    <row r="575" spans="1:11" ht="47.25" x14ac:dyDescent="0.25">
      <c r="A575" s="1" t="str">
        <f>"550/2012"</f>
        <v>550/2012</v>
      </c>
      <c r="B575" s="1" t="s">
        <v>26</v>
      </c>
      <c r="C575" s="1" t="s">
        <v>292</v>
      </c>
      <c r="D575" s="1" t="str">
        <f>"298-2012-EVV"</f>
        <v>298-2012-EVV</v>
      </c>
      <c r="E575" s="1" t="s">
        <v>27</v>
      </c>
      <c r="F575" s="1" t="str">
        <f>"2.605.199,10"</f>
        <v>2.605.199,10</v>
      </c>
      <c r="G575" s="1" t="str">
        <f>CONCATENATE("06.12.2012.",CHAR(10),"12 mjeseci (prosinac 2012.-studeni 2013.)")</f>
        <v>06.12.2012.
12 mjeseci (prosinac 2012.-studeni 2013.)</v>
      </c>
      <c r="H575" s="1" t="str">
        <f>CONCATENATE("LUKOIL CROATIA D.O.O., ZAGREB",CHAR(10),"ENERGOSPEKTAR D.O.O., ZAGREB")</f>
        <v>LUKOIL CROATIA D.O.O., ZAGREB
ENERGOSPEKTAR D.O.O., ZAGREB</v>
      </c>
      <c r="I575" s="1" t="s">
        <v>110</v>
      </c>
      <c r="J575" s="1" t="str">
        <f>SUBSTITUTE(SUBSTITUTE(SUBSTITUTE("1,281,242.37",".","-"),",","."),"-",",")</f>
        <v>1.281.242,37</v>
      </c>
      <c r="K575" s="2"/>
    </row>
    <row r="576" spans="1:11" ht="47.25" x14ac:dyDescent="0.25">
      <c r="A576" s="1" t="str">
        <f>"551/2012"</f>
        <v>551/2012</v>
      </c>
      <c r="B576" s="1" t="s">
        <v>26</v>
      </c>
      <c r="C576" s="1" t="s">
        <v>293</v>
      </c>
      <c r="D576" s="1" t="str">
        <f>"298-2012-EVV"</f>
        <v>298-2012-EVV</v>
      </c>
      <c r="E576" s="1" t="s">
        <v>27</v>
      </c>
      <c r="F576" s="1" t="str">
        <f>"15.512.342,00"</f>
        <v>15.512.342,00</v>
      </c>
      <c r="G576" s="1" t="str">
        <f>CONCATENATE("06.12.2012.",CHAR(10),"12 mjeseci (prosinac 2012.-studeni 2013.)")</f>
        <v>06.12.2012.
12 mjeseci (prosinac 2012.-studeni 2013.)</v>
      </c>
      <c r="H576" s="1" t="str">
        <f>CONCATENATE("LUKOIL CROATIA D.O.O., ZAGREB",CHAR(10),"ENERGOSPEKTAR D.O.O., ZAGREB")</f>
        <v>LUKOIL CROATIA D.O.O., ZAGREB
ENERGOSPEKTAR D.O.O., ZAGREB</v>
      </c>
      <c r="I576" s="1" t="s">
        <v>110</v>
      </c>
      <c r="J576" s="1" t="str">
        <f>SUBSTITUTE(SUBSTITUTE(SUBSTITUTE("11,533,373.09",".","-"),",","."),"-",",")</f>
        <v>11.533.373,09</v>
      </c>
      <c r="K576" s="2"/>
    </row>
    <row r="577" spans="1:11" ht="47.25" x14ac:dyDescent="0.25">
      <c r="A577" s="1" t="str">
        <f>"552/2012"</f>
        <v>552/2012</v>
      </c>
      <c r="B577" s="1" t="s">
        <v>26</v>
      </c>
      <c r="C577" s="1" t="s">
        <v>294</v>
      </c>
      <c r="D577" s="1" t="str">
        <f>"298-2012-EVV"</f>
        <v>298-2012-EVV</v>
      </c>
      <c r="E577" s="1" t="s">
        <v>27</v>
      </c>
      <c r="F577" s="1" t="str">
        <f>"6.519.396,00"</f>
        <v>6.519.396,00</v>
      </c>
      <c r="G577" s="1" t="str">
        <f>CONCATENATE("06.12.2012.",CHAR(10),"12 mjeseci (prosinac 2012. - studeni 2013.)")</f>
        <v>06.12.2012.
12 mjeseci (prosinac 2012. - studeni 2013.)</v>
      </c>
      <c r="H577" s="1" t="str">
        <f>CONCATENATE("LUKOIL CROATIA D.O.O., ZAGREB",CHAR(10),"ENERGOSPEKTAR D.O.O., ZAGREB")</f>
        <v>LUKOIL CROATIA D.O.O., ZAGREB
ENERGOSPEKTAR D.O.O., ZAGREB</v>
      </c>
      <c r="I577" s="1" t="s">
        <v>110</v>
      </c>
      <c r="J577" s="1" t="str">
        <f>SUBSTITUTE(SUBSTITUTE(SUBSTITUTE("4,518,968.53",".","-"),",","."),"-",",")</f>
        <v>4.518.968,53</v>
      </c>
      <c r="K577" s="2"/>
    </row>
    <row r="578" spans="1:11" ht="94.5" x14ac:dyDescent="0.25">
      <c r="A578" s="1" t="str">
        <f>"A-24/2012"</f>
        <v>A-24/2012</v>
      </c>
      <c r="B578" s="1" t="s">
        <v>11</v>
      </c>
      <c r="C578" s="1" t="s">
        <v>1925</v>
      </c>
      <c r="D578" s="1" t="str">
        <f>"EM-956-012/2011"</f>
        <v>EM-956-012/2011</v>
      </c>
      <c r="E578" s="2"/>
      <c r="F578" s="1" t="str">
        <f>"0,00"</f>
        <v>0,00</v>
      </c>
      <c r="G578" s="1" t="str">
        <f>CONCATENATE("10.12.2012.",CHAR(10),"do 31.12.2012.")</f>
        <v>10.12.2012.
do 31.12.2012.</v>
      </c>
      <c r="H578" s="1" t="str">
        <f>CONCATENATE("ŽELJEZNIČKO PROJEKTNO DRUŠTVO, ZAGREB")</f>
        <v>ŽELJEZNIČKO PROJEKTNO DRUŠTVO, ZAGREB</v>
      </c>
      <c r="I578" s="2"/>
      <c r="J578" s="1"/>
      <c r="K578" s="2"/>
    </row>
    <row r="579" spans="1:11" ht="47.25" x14ac:dyDescent="0.25">
      <c r="A579" s="1" t="str">
        <f>"555/2012"</f>
        <v>555/2012</v>
      </c>
      <c r="B579" s="1" t="s">
        <v>14</v>
      </c>
      <c r="C579" s="1" t="s">
        <v>1926</v>
      </c>
      <c r="D579" s="1" t="str">
        <f>CONCATENATE("2472-2012-EMV",CHAR(10),"2012/S 002-0053256 od 23.08.2012.")</f>
        <v>2472-2012-EMV
2012/S 002-0053256 od 23.08.2012.</v>
      </c>
      <c r="E579" s="1" t="s">
        <v>15</v>
      </c>
      <c r="F579" s="1" t="str">
        <f>"147.507,00"</f>
        <v>147.507,00</v>
      </c>
      <c r="G579" s="1" t="str">
        <f>CONCATENATE("10.12.2012.",CHAR(10),"15 dana, računajući od dana uvođenja u posao")</f>
        <v>10.12.2012.
15 dana, računajući od dana uvođenja u posao</v>
      </c>
      <c r="H579" s="1" t="str">
        <f>CONCATENATE("FLORICON D.O.O., ZAGREB")</f>
        <v>FLORICON D.O.O., ZAGREB</v>
      </c>
      <c r="I579" s="2"/>
      <c r="J579" s="1"/>
      <c r="K579" s="2"/>
    </row>
    <row r="580" spans="1:11" ht="47.25" x14ac:dyDescent="0.25">
      <c r="A580" s="1" t="str">
        <f>"558/2012"</f>
        <v>558/2012</v>
      </c>
      <c r="B580" s="1" t="s">
        <v>14</v>
      </c>
      <c r="C580" s="1" t="s">
        <v>1927</v>
      </c>
      <c r="D580" s="1" t="str">
        <f>CONCATENATE("2451-2012-EMV",CHAR(10),"2012/S 002-0052759 od 22.08.2012.")</f>
        <v>2451-2012-EMV
2012/S 002-0052759 od 22.08.2012.</v>
      </c>
      <c r="E580" s="1" t="s">
        <v>15</v>
      </c>
      <c r="F580" s="1" t="str">
        <f>"231.535,00"</f>
        <v>231.535,00</v>
      </c>
      <c r="G580" s="1" t="str">
        <f>CONCATENATE("10.12.2012.",CHAR(10),"30 dana, računajući od dana uvođenja u posao")</f>
        <v>10.12.2012.
30 dana, računajući od dana uvođenja u posao</v>
      </c>
      <c r="H580" s="1" t="str">
        <f>CONCATENATE("M. SOLDO D.O.O., ZAGREB",CHAR(10),"GEOGIS D.O.O., ZAGREB",CHAR(10),"CSS D.O.O., ZAGREB")</f>
        <v>M. SOLDO D.O.O., ZAGREB
GEOGIS D.O.O., ZAGREB
CSS D.O.O., ZAGREB</v>
      </c>
      <c r="I580" s="1" t="s">
        <v>285</v>
      </c>
      <c r="J580" s="1" t="str">
        <f>SUBSTITUTE(SUBSTITUTE(SUBSTITUTE("289,418.00",".","-"),",","."),"-",",")</f>
        <v>289.418,00</v>
      </c>
      <c r="K580" s="2"/>
    </row>
    <row r="581" spans="1:11" ht="63" x14ac:dyDescent="0.25">
      <c r="A581" s="1" t="str">
        <f>"560/2012"</f>
        <v>560/2012</v>
      </c>
      <c r="B581" s="1" t="s">
        <v>14</v>
      </c>
      <c r="C581" s="1" t="s">
        <v>1928</v>
      </c>
      <c r="D581" s="1" t="str">
        <f>CONCATENATE("2495-2012-EMV",CHAR(10),"2012/S 002-0062344 od 20.09.2012.")</f>
        <v>2495-2012-EMV
2012/S 002-0062344 od 20.09.2012.</v>
      </c>
      <c r="E581" s="1" t="s">
        <v>15</v>
      </c>
      <c r="F581" s="1" t="str">
        <f>"64.100,00"</f>
        <v>64.100,00</v>
      </c>
      <c r="G581" s="1" t="str">
        <f>CONCATENATE("10.12.2012.",CHAR(10),"60 dana od dana obostranog potpisa Ugovora")</f>
        <v>10.12.2012.
60 dana od dana obostranog potpisa Ugovora</v>
      </c>
      <c r="H581" s="1" t="str">
        <f>CONCATENATE("KOPIMA D.O.O, ZAGREB",CHAR(10),"MGV D.O.O., ZAGREB",CHAR(10),"GEOKON - ZAGREB D.D., ZAGREB")</f>
        <v>KOPIMA D.O.O, ZAGREB
MGV D.O.O., ZAGREB
GEOKON - ZAGREB D.D., ZAGREB</v>
      </c>
      <c r="I581" s="1" t="s">
        <v>296</v>
      </c>
      <c r="J581" s="1" t="str">
        <f>SUBSTITUTE(SUBSTITUTE(SUBSTITUTE("80,125.00",".","-"),",","."),"-",",")</f>
        <v>80.125,00</v>
      </c>
      <c r="K581" s="2"/>
    </row>
    <row r="582" spans="1:11" ht="63" x14ac:dyDescent="0.25">
      <c r="A582" s="1" t="str">
        <f>"564/2012"</f>
        <v>564/2012</v>
      </c>
      <c r="B582" s="1" t="s">
        <v>14</v>
      </c>
      <c r="C582" s="1" t="s">
        <v>1929</v>
      </c>
      <c r="D582" s="1" t="str">
        <f>CONCATENATE("746-2012-EMV",CHAR(10),"2012/S 002-0006889 od 26.03.2012.")</f>
        <v>746-2012-EMV
2012/S 002-0006889 od 26.03.2012.</v>
      </c>
      <c r="E582" s="1" t="s">
        <v>15</v>
      </c>
      <c r="F582" s="1" t="str">
        <f>"344.662,10"</f>
        <v>344.662,10</v>
      </c>
      <c r="G582" s="1" t="str">
        <f>CONCATENATE("10.12.2012.",CHAR(10),"8 mjeseci, računajući od dana uvođenja u posao")</f>
        <v>10.12.2012.
8 mjeseci, računajući od dana uvođenja u posao</v>
      </c>
      <c r="H582" s="1" t="str">
        <f>CONCATENATE("GRADNJAPROJEKT- ZAGREB D.O.O., ZAGREB",CHAR(10),"LJEVAONICA UMJETNINA ALU D.O.O., ZAGREB")</f>
        <v>GRADNJAPROJEKT- ZAGREB D.O.O., ZAGREB
LJEVAONICA UMJETNINA ALU D.O.O., ZAGREB</v>
      </c>
      <c r="I582" s="1" t="s">
        <v>297</v>
      </c>
      <c r="J582" s="1" t="str">
        <f>SUBSTITUTE(SUBSTITUTE(SUBSTITUTE("430,804.22",".","-"),",","."),"-",",")</f>
        <v>430.804,22</v>
      </c>
      <c r="K582" s="2"/>
    </row>
    <row r="583" spans="1:11" ht="47.25" x14ac:dyDescent="0.25">
      <c r="A583" s="1" t="str">
        <f>"566/2012"</f>
        <v>566/2012</v>
      </c>
      <c r="B583" s="1" t="s">
        <v>14</v>
      </c>
      <c r="C583" s="1" t="s">
        <v>1930</v>
      </c>
      <c r="D583" s="1" t="str">
        <f>CONCATENATE("2711-2012-EMV",CHAR(10),"2012/S 015-0079107 od 12.11.2012.")</f>
        <v>2711-2012-EMV
2012/S 015-0079107 od 12.11.2012.</v>
      </c>
      <c r="E583" s="1" t="s">
        <v>12</v>
      </c>
      <c r="F583" s="1" t="str">
        <f>"197.600,00"</f>
        <v>197.600,00</v>
      </c>
      <c r="G583" s="1" t="str">
        <f>CONCATENATE("10.12.2012.",CHAR(10),"90 dana od dana uvođenja u posao")</f>
        <v>10.12.2012.
90 dana od dana uvođenja u posao</v>
      </c>
      <c r="H583" s="1" t="str">
        <f>CONCATENATE("LJEVAONICA UMJETNINA ALU D.O.O., ZAGREB")</f>
        <v>LJEVAONICA UMJETNINA ALU D.O.O., ZAGREB</v>
      </c>
      <c r="I583" s="1" t="s">
        <v>152</v>
      </c>
      <c r="J583" s="1" t="str">
        <f>SUBSTITUTE(SUBSTITUTE(SUBSTITUTE("247,000.00",".","-"),",","."),"-",",")</f>
        <v>247.000,00</v>
      </c>
      <c r="K583" s="2"/>
    </row>
    <row r="584" spans="1:11" ht="47.25" x14ac:dyDescent="0.25">
      <c r="A584" s="1" t="str">
        <f>"567/2012"</f>
        <v>567/2012</v>
      </c>
      <c r="B584" s="1" t="s">
        <v>14</v>
      </c>
      <c r="C584" s="1" t="s">
        <v>1931</v>
      </c>
      <c r="D584" s="1" t="str">
        <f>CONCATENATE("2476-2012-EMV",CHAR(10),"2012/S 015-0083543 od 23.11.2012.")</f>
        <v>2476-2012-EMV
2012/S 015-0083543 od 23.11.2012.</v>
      </c>
      <c r="E584" s="1" t="s">
        <v>12</v>
      </c>
      <c r="F584" s="1" t="str">
        <f>"304.001,68"</f>
        <v>304.001,68</v>
      </c>
      <c r="G584" s="1" t="str">
        <f>CONCATENATE("10.12.2012.",CHAR(10),"30 dana")</f>
        <v>10.12.2012.
30 dana</v>
      </c>
      <c r="H584" s="1" t="str">
        <f>CONCATENATE("TEH-GRADNJA D.O.O., ZAGREB")</f>
        <v>TEH-GRADNJA D.O.O., ZAGREB</v>
      </c>
      <c r="I584" s="1" t="s">
        <v>278</v>
      </c>
      <c r="J584" s="1" t="str">
        <f>SUBSTITUTE(SUBSTITUTE(SUBSTITUTE("380,002.10",".","-"),",","."),"-",",")</f>
        <v>380.002,10</v>
      </c>
      <c r="K584" s="2"/>
    </row>
    <row r="585" spans="1:11" ht="47.25" x14ac:dyDescent="0.25">
      <c r="A585" s="1" t="str">
        <f>"570/2012"</f>
        <v>570/2012</v>
      </c>
      <c r="B585" s="1" t="s">
        <v>14</v>
      </c>
      <c r="C585" s="1" t="s">
        <v>1932</v>
      </c>
      <c r="D585" s="1" t="str">
        <f>CONCATENATE("891-2012-EMV",CHAR(10),"2012/S 002-0059817 od 13.09.2012.")</f>
        <v>891-2012-EMV
2012/S 002-0059817 od 13.09.2012.</v>
      </c>
      <c r="E585" s="1" t="s">
        <v>15</v>
      </c>
      <c r="F585" s="1" t="str">
        <f>"162.400,00"</f>
        <v>162.400,00</v>
      </c>
      <c r="G585" s="1" t="str">
        <f>CONCATENATE("10.12.2012.",CHAR(10),"6 mjeseci, računajući od dana obostranog potpisa Ugovora")</f>
        <v>10.12.2012.
6 mjeseci, računajući od dana obostranog potpisa Ugovora</v>
      </c>
      <c r="H585" s="1" t="str">
        <f>CONCATENATE("ZG-PROJEKT D.O.O., ZAGREB",CHAR(10),"INSTITUT ZA TURIZAM, ZAGREB")</f>
        <v>ZG-PROJEKT D.O.O., ZAGREB
INSTITUT ZA TURIZAM, ZAGREB</v>
      </c>
      <c r="I585" s="1" t="s">
        <v>298</v>
      </c>
      <c r="J585" s="1" t="str">
        <f>SUBSTITUTE(SUBSTITUTE(SUBSTITUTE("203,000.00",".","-"),",","."),"-",",")</f>
        <v>203.000,00</v>
      </c>
      <c r="K585" s="2"/>
    </row>
    <row r="586" spans="1:11" ht="63" x14ac:dyDescent="0.25">
      <c r="A586" s="1" t="str">
        <f>"571/2012"</f>
        <v>571/2012</v>
      </c>
      <c r="B586" s="1" t="s">
        <v>14</v>
      </c>
      <c r="C586" s="1" t="s">
        <v>1933</v>
      </c>
      <c r="D586" s="1" t="str">
        <f>CONCATENATE("2858-2012-EMV",CHAR(10),"2012/S 002-0075561 od 31.10.2012.")</f>
        <v>2858-2012-EMV
2012/S 002-0075561 od 31.10.2012.</v>
      </c>
      <c r="E586" s="1" t="s">
        <v>15</v>
      </c>
      <c r="F586" s="1" t="str">
        <f>"1.388.601,62"</f>
        <v>1.388.601,62</v>
      </c>
      <c r="G586" s="1" t="str">
        <f>CONCATENATE("10.12.2012.",CHAR(10),"40 dana, računajući od dana uvođenja u posao")</f>
        <v>10.12.2012.
40 dana, računajući od dana uvođenja u posao</v>
      </c>
      <c r="H586" s="1" t="str">
        <f>CONCATENATE("HIDROCOMMERCE D.O.O., GORNJI STUPNIK")</f>
        <v>HIDROCOMMERCE D.O.O., GORNJI STUPNIK</v>
      </c>
      <c r="I586" s="2"/>
      <c r="J586" s="1"/>
      <c r="K586" s="2"/>
    </row>
    <row r="587" spans="1:11" ht="47.25" x14ac:dyDescent="0.25">
      <c r="A587" s="1" t="str">
        <f>"572/2012"</f>
        <v>572/2012</v>
      </c>
      <c r="B587" s="1" t="s">
        <v>14</v>
      </c>
      <c r="C587" s="1" t="s">
        <v>1934</v>
      </c>
      <c r="D587" s="1" t="str">
        <f>CONCATENATE("400-2012-EMV",CHAR(10),"2012/S 002-0051741 od 17.08.2012.")</f>
        <v>400-2012-EMV
2012/S 002-0051741 od 17.08.2012.</v>
      </c>
      <c r="E587" s="1" t="s">
        <v>15</v>
      </c>
      <c r="F587" s="1" t="str">
        <f>"438.202,50"</f>
        <v>438.202,50</v>
      </c>
      <c r="G587" s="1" t="str">
        <f>CONCATENATE("10.12.2012.",CHAR(10),"60 dana, računajući od dana uvođenja u posao")</f>
        <v>10.12.2012.
60 dana, računajući od dana uvođenja u posao</v>
      </c>
      <c r="H587" s="1" t="str">
        <f>CONCATENATE("TA-GRAD D.O.O., ZAGREB")</f>
        <v>TA-GRAD D.O.O., ZAGREB</v>
      </c>
      <c r="I587" s="1" t="s">
        <v>299</v>
      </c>
      <c r="J587" s="1" t="str">
        <f>SUBSTITUTE(SUBSTITUTE(SUBSTITUTE("547,514.56",".","-"),",","."),"-",",")</f>
        <v>547.514,56</v>
      </c>
      <c r="K587" s="2"/>
    </row>
    <row r="588" spans="1:11" ht="63" x14ac:dyDescent="0.25">
      <c r="A588" s="1" t="str">
        <f>"573/2012"</f>
        <v>573/2012</v>
      </c>
      <c r="B588" s="1" t="s">
        <v>14</v>
      </c>
      <c r="C588" s="1" t="s">
        <v>1935</v>
      </c>
      <c r="D588" s="1" t="str">
        <f>CONCATENATE("2036-2012-EMV",CHAR(10),"2012/S 002-0060326 od 14.09.2012.")</f>
        <v>2036-2012-EMV
2012/S 002-0060326 od 14.09.2012.</v>
      </c>
      <c r="E588" s="1" t="s">
        <v>15</v>
      </c>
      <c r="F588" s="1" t="str">
        <f>"88.500,00"</f>
        <v>88.500,00</v>
      </c>
      <c r="G588" s="1" t="str">
        <f>CONCATENATE("10.12.2012.",CHAR(10),"60 dana, računajući od dana obostranog potpisa Ugovora")</f>
        <v>10.12.2012.
60 dana, računajući od dana obostranog potpisa Ugovora</v>
      </c>
      <c r="H588" s="1" t="str">
        <f>CONCATENATE("KOPIMA D.O.O, ZAGREB",CHAR(10),"PROJEKTNI BIRO NAGLIĆ D.O.O., ZAGREB",CHAR(10),"AG PLANUM D.O.O., ZAGREB")</f>
        <v>KOPIMA D.O.O, ZAGREB
PROJEKTNI BIRO NAGLIĆ D.O.O., ZAGREB
AG PLANUM D.O.O., ZAGREB</v>
      </c>
      <c r="I588" s="1" t="s">
        <v>300</v>
      </c>
      <c r="J588" s="1" t="str">
        <f>SUBSTITUTE(SUBSTITUTE(SUBSTITUTE("110,625.00",".","-"),",","."),"-",",")</f>
        <v>110.625,00</v>
      </c>
      <c r="K588" s="2"/>
    </row>
    <row r="589" spans="1:11" ht="63" x14ac:dyDescent="0.25">
      <c r="A589" s="1" t="str">
        <f>"590/2012"</f>
        <v>590/2012</v>
      </c>
      <c r="B589" s="1" t="s">
        <v>14</v>
      </c>
      <c r="C589" s="1" t="s">
        <v>1304</v>
      </c>
      <c r="D589" s="1" t="str">
        <f>CONCATENATE("51-2012-EMV",CHAR(10),"2012/S 002-0064683  od 27.09.2012.")</f>
        <v>51-2012-EMV
2012/S 002-0064683  od 27.09.2012.</v>
      </c>
      <c r="E589" s="1" t="s">
        <v>15</v>
      </c>
      <c r="F589" s="1" t="str">
        <f>"198.016,00"</f>
        <v>198.016,00</v>
      </c>
      <c r="G589" s="1" t="str">
        <f>CONCATENATE("10.12.2012.",CHAR(10),"12 mjeseci od obostranog potpisa Ugovora")</f>
        <v>10.12.2012.
12 mjeseci od obostranog potpisa Ugovora</v>
      </c>
      <c r="H589" s="1" t="str">
        <f>CONCATENATE("URIHO - USTANOVA ZA PROFESIONALNU REHABILITACIJU I ZAPOŠLJAVANJE OSOBA S INVALIDITETOM, ZAGREB")</f>
        <v>URIHO - USTANOVA ZA PROFESIONALNU REHABILITACIJU I ZAPOŠLJAVANJE OSOBA S INVALIDITETOM, ZAGREB</v>
      </c>
      <c r="I589" s="1" t="s">
        <v>301</v>
      </c>
      <c r="J589" s="1" t="str">
        <f>SUBSTITUTE(SUBSTITUTE(SUBSTITUTE("238,306.25",".","-"),",","."),"-",",")</f>
        <v>238.306,25</v>
      </c>
      <c r="K589" s="2"/>
    </row>
    <row r="590" spans="1:11" ht="63" customHeight="1" x14ac:dyDescent="0.25">
      <c r="A590" s="1" t="str">
        <f>"553/2012"</f>
        <v>553/2012</v>
      </c>
      <c r="B590" s="1" t="s">
        <v>14</v>
      </c>
      <c r="C590" s="1" t="s">
        <v>1924</v>
      </c>
      <c r="D590" s="1" t="str">
        <f t="shared" ref="D590:D599" si="0">"6-2012-EVV"</f>
        <v>6-2012-EVV</v>
      </c>
      <c r="E590" s="1" t="s">
        <v>40</v>
      </c>
      <c r="F590" s="1" t="s">
        <v>295</v>
      </c>
      <c r="G590" s="1" t="str">
        <f t="shared" ref="G590:G629" si="1">CONCATENATE("10.12.2012.",CHAR(10),"do zaključenja Ugovora za pružanje odvjetničkih usluga za 2013. godinu")</f>
        <v>10.12.2012.
do zaključenja Ugovora za pružanje odvjetničkih usluga za 2013. godinu</v>
      </c>
      <c r="H590" s="1" t="str">
        <f>CONCATENATE("ODVJETNIČKO DRUŠTVO LEKO I PARTNERI D.O.O., ZAGREB")</f>
        <v>ODVJETNIČKO DRUŠTVO LEKO I PARTNERI D.O.O., ZAGREB</v>
      </c>
      <c r="I590" s="1" t="s">
        <v>110</v>
      </c>
      <c r="J590" s="8" t="s">
        <v>2904</v>
      </c>
      <c r="K590" s="2"/>
    </row>
    <row r="591" spans="1:11" ht="63" x14ac:dyDescent="0.25">
      <c r="A591" s="1" t="str">
        <f>"554/2012"</f>
        <v>554/2012</v>
      </c>
      <c r="B591" s="1" t="s">
        <v>14</v>
      </c>
      <c r="C591" s="1" t="s">
        <v>1924</v>
      </c>
      <c r="D591" s="1" t="str">
        <f t="shared" si="0"/>
        <v>6-2012-EVV</v>
      </c>
      <c r="E591" s="1" t="s">
        <v>40</v>
      </c>
      <c r="F591" s="1" t="s">
        <v>295</v>
      </c>
      <c r="G591" s="1" t="str">
        <f t="shared" si="1"/>
        <v>10.12.2012.
do zaključenja Ugovora za pružanje odvjetničkih usluga za 2013. godinu</v>
      </c>
      <c r="H591" s="1" t="str">
        <f>CONCATENATE("RAMLJAK MARKO, ODVJETNIK, ZAGREB")</f>
        <v>RAMLJAK MARKO, ODVJETNIK, ZAGREB</v>
      </c>
      <c r="I591" s="1" t="s">
        <v>110</v>
      </c>
      <c r="J591" s="11"/>
      <c r="K591" s="2"/>
    </row>
    <row r="592" spans="1:11" ht="63" x14ac:dyDescent="0.25">
      <c r="A592" s="1" t="str">
        <f>"556/2012"</f>
        <v>556/2012</v>
      </c>
      <c r="B592" s="1" t="s">
        <v>14</v>
      </c>
      <c r="C592" s="1" t="s">
        <v>1924</v>
      </c>
      <c r="D592" s="1" t="str">
        <f t="shared" si="0"/>
        <v>6-2012-EVV</v>
      </c>
      <c r="E592" s="1" t="s">
        <v>40</v>
      </c>
      <c r="F592" s="1" t="s">
        <v>295</v>
      </c>
      <c r="G592" s="1" t="str">
        <f t="shared" si="1"/>
        <v>10.12.2012.
do zaključenja Ugovora za pružanje odvjetničkih usluga za 2013. godinu</v>
      </c>
      <c r="H592" s="1" t="str">
        <f>CONCATENATE("ĆUTUK IVICA, ODVJETNIK, ZAGREB")</f>
        <v>ĆUTUK IVICA, ODVJETNIK, ZAGREB</v>
      </c>
      <c r="I592" s="1" t="s">
        <v>110</v>
      </c>
      <c r="J592" s="11"/>
      <c r="K592" s="2"/>
    </row>
    <row r="593" spans="1:11" ht="63" x14ac:dyDescent="0.25">
      <c r="A593" s="1" t="str">
        <f>"557/2012"</f>
        <v>557/2012</v>
      </c>
      <c r="B593" s="1" t="s">
        <v>14</v>
      </c>
      <c r="C593" s="1" t="s">
        <v>1924</v>
      </c>
      <c r="D593" s="1" t="str">
        <f t="shared" si="0"/>
        <v>6-2012-EVV</v>
      </c>
      <c r="E593" s="1" t="s">
        <v>40</v>
      </c>
      <c r="F593" s="1" t="s">
        <v>295</v>
      </c>
      <c r="G593" s="1" t="str">
        <f t="shared" si="1"/>
        <v>10.12.2012.
do zaključenja Ugovora za pružanje odvjetničkih usluga za 2013. godinu</v>
      </c>
      <c r="H593" s="1" t="str">
        <f>CONCATENATE("CENIĆ MAJA, ODVJETNICA, ZAGREB")</f>
        <v>CENIĆ MAJA, ODVJETNICA, ZAGREB</v>
      </c>
      <c r="I593" s="1" t="s">
        <v>110</v>
      </c>
      <c r="J593" s="11"/>
      <c r="K593" s="2"/>
    </row>
    <row r="594" spans="1:11" ht="63" x14ac:dyDescent="0.25">
      <c r="A594" s="1" t="str">
        <f>"559/2012"</f>
        <v>559/2012</v>
      </c>
      <c r="B594" s="1" t="s">
        <v>14</v>
      </c>
      <c r="C594" s="1" t="s">
        <v>1924</v>
      </c>
      <c r="D594" s="1" t="str">
        <f t="shared" si="0"/>
        <v>6-2012-EVV</v>
      </c>
      <c r="E594" s="1" t="s">
        <v>40</v>
      </c>
      <c r="F594" s="1" t="s">
        <v>295</v>
      </c>
      <c r="G594" s="1" t="str">
        <f t="shared" si="1"/>
        <v>10.12.2012.
do zaključenja Ugovora za pružanje odvjetničkih usluga za 2013. godinu</v>
      </c>
      <c r="H594" s="1" t="str">
        <f>CONCATENATE("PILIPOVIĆ ŽELJKA,, ODVJETNICA, ZAGREB")</f>
        <v>PILIPOVIĆ ŽELJKA,, ODVJETNICA, ZAGREB</v>
      </c>
      <c r="I594" s="1" t="s">
        <v>110</v>
      </c>
      <c r="J594" s="11"/>
      <c r="K594" s="2"/>
    </row>
    <row r="595" spans="1:11" ht="63" x14ac:dyDescent="0.25">
      <c r="A595" s="1" t="str">
        <f>"561/2012"</f>
        <v>561/2012</v>
      </c>
      <c r="B595" s="1" t="s">
        <v>14</v>
      </c>
      <c r="C595" s="1" t="s">
        <v>1924</v>
      </c>
      <c r="D595" s="1" t="str">
        <f t="shared" si="0"/>
        <v>6-2012-EVV</v>
      </c>
      <c r="E595" s="1" t="s">
        <v>40</v>
      </c>
      <c r="F595" s="1" t="s">
        <v>295</v>
      </c>
      <c r="G595" s="1" t="str">
        <f t="shared" si="1"/>
        <v>10.12.2012.
do zaključenja Ugovora za pružanje odvjetničkih usluga za 2013. godinu</v>
      </c>
      <c r="H595" s="1" t="str">
        <f>CONCATENATE("LETICA FRANE I OREŠKOVIĆ DALIJA, ODVJETNICI IZ ZAJEDNIČKOG ODVJETNIČKOG UREDA, ZAGREB")</f>
        <v>LETICA FRANE I OREŠKOVIĆ DALIJA, ODVJETNICI IZ ZAJEDNIČKOG ODVJETNIČKOG UREDA, ZAGREB</v>
      </c>
      <c r="I595" s="1" t="s">
        <v>110</v>
      </c>
      <c r="J595" s="11"/>
      <c r="K595" s="2"/>
    </row>
    <row r="596" spans="1:11" ht="63" x14ac:dyDescent="0.25">
      <c r="A596" s="1" t="str">
        <f>"562/2012"</f>
        <v>562/2012</v>
      </c>
      <c r="B596" s="1" t="s">
        <v>14</v>
      </c>
      <c r="C596" s="1" t="s">
        <v>1924</v>
      </c>
      <c r="D596" s="1" t="str">
        <f t="shared" si="0"/>
        <v>6-2012-EVV</v>
      </c>
      <c r="E596" s="1" t="s">
        <v>40</v>
      </c>
      <c r="F596" s="1" t="s">
        <v>295</v>
      </c>
      <c r="G596" s="1" t="str">
        <f t="shared" si="1"/>
        <v>10.12.2012.
do zaključenja Ugovora za pružanje odvjetničkih usluga za 2013. godinu</v>
      </c>
      <c r="H596" s="1" t="str">
        <f>CONCATENATE("KRSNIK KREŠIMIR, ODVJETNIK, ZAGREB")</f>
        <v>KRSNIK KREŠIMIR, ODVJETNIK, ZAGREB</v>
      </c>
      <c r="I596" s="1" t="s">
        <v>110</v>
      </c>
      <c r="J596" s="11"/>
      <c r="K596" s="2"/>
    </row>
    <row r="597" spans="1:11" ht="63" customHeight="1" x14ac:dyDescent="0.25">
      <c r="A597" s="1" t="str">
        <f>"563/2012"</f>
        <v>563/2012</v>
      </c>
      <c r="B597" s="1" t="s">
        <v>14</v>
      </c>
      <c r="C597" s="1" t="s">
        <v>1924</v>
      </c>
      <c r="D597" s="1" t="str">
        <f t="shared" si="0"/>
        <v>6-2012-EVV</v>
      </c>
      <c r="E597" s="1" t="s">
        <v>40</v>
      </c>
      <c r="F597" s="1" t="s">
        <v>295</v>
      </c>
      <c r="G597" s="1" t="str">
        <f t="shared" si="1"/>
        <v>10.12.2012.
do zaključenja Ugovora za pružanje odvjetničkih usluga za 2013. godinu</v>
      </c>
      <c r="H597" s="1" t="str">
        <f>CONCATENATE("MUMINAGIĆ EDIN, ODVJETNIK, ZAGREB")</f>
        <v>MUMINAGIĆ EDIN, ODVJETNIK, ZAGREB</v>
      </c>
      <c r="I597" s="1" t="s">
        <v>110</v>
      </c>
      <c r="J597" s="11"/>
      <c r="K597" s="2"/>
    </row>
    <row r="598" spans="1:11" ht="63" x14ac:dyDescent="0.25">
      <c r="A598" s="1" t="str">
        <f>"565/2012"</f>
        <v>565/2012</v>
      </c>
      <c r="B598" s="1" t="s">
        <v>14</v>
      </c>
      <c r="C598" s="1" t="s">
        <v>1924</v>
      </c>
      <c r="D598" s="1" t="str">
        <f t="shared" si="0"/>
        <v>6-2012-EVV</v>
      </c>
      <c r="E598" s="1" t="s">
        <v>40</v>
      </c>
      <c r="F598" s="1" t="s">
        <v>295</v>
      </c>
      <c r="G598" s="1" t="str">
        <f t="shared" si="1"/>
        <v>10.12.2012.
do zaključenja Ugovora za pružanje odvjetničkih usluga za 2013. godinu</v>
      </c>
      <c r="H598" s="1" t="str">
        <f>CONCATENATE("BUKOVAC I SURADNICI D.O.O., ODVJETNIČKO DRUŠTVO, ZAGREB")</f>
        <v>BUKOVAC I SURADNICI D.O.O., ODVJETNIČKO DRUŠTVO, ZAGREB</v>
      </c>
      <c r="I598" s="1" t="s">
        <v>110</v>
      </c>
      <c r="J598" s="11"/>
      <c r="K598" s="2"/>
    </row>
    <row r="599" spans="1:11" ht="63" x14ac:dyDescent="0.25">
      <c r="A599" s="1" t="str">
        <f>"568/2012"</f>
        <v>568/2012</v>
      </c>
      <c r="B599" s="1" t="s">
        <v>14</v>
      </c>
      <c r="C599" s="1" t="s">
        <v>1924</v>
      </c>
      <c r="D599" s="1" t="str">
        <f t="shared" si="0"/>
        <v>6-2012-EVV</v>
      </c>
      <c r="E599" s="1" t="s">
        <v>40</v>
      </c>
      <c r="F599" s="1" t="s">
        <v>295</v>
      </c>
      <c r="G599" s="1" t="str">
        <f t="shared" si="1"/>
        <v>10.12.2012.
do zaključenja Ugovora za pružanje odvjetničkih usluga za 2013. godinu</v>
      </c>
      <c r="H599" s="1" t="str">
        <f>CONCATENATE("SAVIĆ ŠIME, ODVJETNIK, ZAGREB")</f>
        <v>SAVIĆ ŠIME, ODVJETNIK, ZAGREB</v>
      </c>
      <c r="I599" s="1" t="s">
        <v>110</v>
      </c>
      <c r="J599" s="9"/>
      <c r="K599" s="2"/>
    </row>
    <row r="600" spans="1:11" ht="63" x14ac:dyDescent="0.25">
      <c r="A600" s="1" t="str">
        <f>"574/2012"</f>
        <v>574/2012</v>
      </c>
      <c r="B600" s="1" t="s">
        <v>14</v>
      </c>
      <c r="C600" s="1" t="s">
        <v>1924</v>
      </c>
      <c r="D600" s="1" t="str">
        <f t="shared" ref="D600:D615" si="2">"6-2012-EVV"</f>
        <v>6-2012-EVV</v>
      </c>
      <c r="E600" s="1" t="s">
        <v>40</v>
      </c>
      <c r="F600" s="1" t="s">
        <v>295</v>
      </c>
      <c r="G600" s="1" t="str">
        <f t="shared" si="1"/>
        <v>10.12.2012.
do zaključenja Ugovora za pružanje odvjetničkih usluga za 2013. godinu</v>
      </c>
      <c r="H600" s="1" t="str">
        <f>CONCATENATE("PEDIŠIĆ I PARTNERI, ODVJETNIČKO DRUŠTVO J.T.D, ZAGREB")</f>
        <v>PEDIŠIĆ I PARTNERI, ODVJETNIČKO DRUŠTVO J.T.D, ZAGREB</v>
      </c>
      <c r="I600" s="1" t="s">
        <v>110</v>
      </c>
      <c r="J600" s="10" t="s">
        <v>2904</v>
      </c>
      <c r="K600" s="2"/>
    </row>
    <row r="601" spans="1:11" ht="63" x14ac:dyDescent="0.25">
      <c r="A601" s="1" t="str">
        <f>"575/2012"</f>
        <v>575/2012</v>
      </c>
      <c r="B601" s="1" t="s">
        <v>14</v>
      </c>
      <c r="C601" s="1" t="s">
        <v>1924</v>
      </c>
      <c r="D601" s="1" t="str">
        <f t="shared" si="2"/>
        <v>6-2012-EVV</v>
      </c>
      <c r="E601" s="1" t="s">
        <v>40</v>
      </c>
      <c r="F601" s="1" t="s">
        <v>295</v>
      </c>
      <c r="G601" s="1" t="str">
        <f t="shared" si="1"/>
        <v>10.12.2012.
do zaključenja Ugovora za pružanje odvjetničkih usluga za 2013. godinu</v>
      </c>
      <c r="H601" s="1" t="str">
        <f>CONCATENATE("ZDILAR HRVOJE, ODVJETNIK, ZAGREB")</f>
        <v>ZDILAR HRVOJE, ODVJETNIK, ZAGREB</v>
      </c>
      <c r="I601" s="1" t="s">
        <v>110</v>
      </c>
      <c r="J601" s="11"/>
      <c r="K601" s="2"/>
    </row>
    <row r="602" spans="1:11" ht="63" x14ac:dyDescent="0.25">
      <c r="A602" s="1" t="str">
        <f>"576/2012"</f>
        <v>576/2012</v>
      </c>
      <c r="B602" s="1" t="s">
        <v>14</v>
      </c>
      <c r="C602" s="1" t="s">
        <v>1924</v>
      </c>
      <c r="D602" s="1" t="str">
        <f t="shared" si="2"/>
        <v>6-2012-EVV</v>
      </c>
      <c r="E602" s="1" t="s">
        <v>40</v>
      </c>
      <c r="F602" s="1" t="s">
        <v>295</v>
      </c>
      <c r="G602" s="1" t="str">
        <f t="shared" si="1"/>
        <v>10.12.2012.
do zaključenja Ugovora za pružanje odvjetničkih usluga za 2013. godinu</v>
      </c>
      <c r="H602" s="1" t="str">
        <f>CONCATENATE("ODVJETNIČKO DRUŠTVO DRAGIČEVIĆ I PARTNERI D.O.O., ZAGREB")</f>
        <v>ODVJETNIČKO DRUŠTVO DRAGIČEVIĆ I PARTNERI D.O.O., ZAGREB</v>
      </c>
      <c r="I602" s="1" t="s">
        <v>110</v>
      </c>
      <c r="J602" s="11"/>
      <c r="K602" s="2"/>
    </row>
    <row r="603" spans="1:11" ht="63" x14ac:dyDescent="0.25">
      <c r="A603" s="1" t="str">
        <f>"577/2012"</f>
        <v>577/2012</v>
      </c>
      <c r="B603" s="1" t="s">
        <v>14</v>
      </c>
      <c r="C603" s="1" t="s">
        <v>1924</v>
      </c>
      <c r="D603" s="1" t="str">
        <f t="shared" si="2"/>
        <v>6-2012-EVV</v>
      </c>
      <c r="E603" s="1" t="s">
        <v>40</v>
      </c>
      <c r="F603" s="1" t="s">
        <v>295</v>
      </c>
      <c r="G603" s="1" t="str">
        <f t="shared" si="1"/>
        <v>10.12.2012.
do zaključenja Ugovora za pružanje odvjetničkih usluga za 2013. godinu</v>
      </c>
      <c r="H603" s="1" t="str">
        <f>CONCATENATE("BAŠ NIKOLA, ZAGREB")</f>
        <v>BAŠ NIKOLA, ZAGREB</v>
      </c>
      <c r="I603" s="1" t="s">
        <v>110</v>
      </c>
      <c r="J603" s="11"/>
      <c r="K603" s="2"/>
    </row>
    <row r="604" spans="1:11" ht="63" x14ac:dyDescent="0.25">
      <c r="A604" s="1" t="str">
        <f>"578/2012"</f>
        <v>578/2012</v>
      </c>
      <c r="B604" s="1" t="s">
        <v>14</v>
      </c>
      <c r="C604" s="1" t="s">
        <v>1924</v>
      </c>
      <c r="D604" s="1" t="str">
        <f t="shared" si="2"/>
        <v>6-2012-EVV</v>
      </c>
      <c r="E604" s="1" t="s">
        <v>40</v>
      </c>
      <c r="F604" s="1" t="s">
        <v>295</v>
      </c>
      <c r="G604" s="1" t="str">
        <f t="shared" si="1"/>
        <v>10.12.2012.
do zaključenja Ugovora za pružanje odvjetničkih usluga za 2013. godinu</v>
      </c>
      <c r="H604" s="1" t="str">
        <f>CONCATENATE("ODVJETNIČKO DRUŠTVO LJUBENKO &amp; PARTNERI J.T.D., ZAGREB")</f>
        <v>ODVJETNIČKO DRUŠTVO LJUBENKO &amp; PARTNERI J.T.D., ZAGREB</v>
      </c>
      <c r="I604" s="1" t="s">
        <v>110</v>
      </c>
      <c r="J604" s="11"/>
      <c r="K604" s="2"/>
    </row>
    <row r="605" spans="1:11" ht="63" x14ac:dyDescent="0.25">
      <c r="A605" s="1" t="str">
        <f>"579/2012"</f>
        <v>579/2012</v>
      </c>
      <c r="B605" s="1" t="s">
        <v>14</v>
      </c>
      <c r="C605" s="1" t="s">
        <v>1924</v>
      </c>
      <c r="D605" s="1" t="str">
        <f t="shared" si="2"/>
        <v>6-2012-EVV</v>
      </c>
      <c r="E605" s="1" t="s">
        <v>40</v>
      </c>
      <c r="F605" s="1" t="s">
        <v>295</v>
      </c>
      <c r="G605" s="1" t="str">
        <f t="shared" si="1"/>
        <v>10.12.2012.
do zaključenja Ugovora za pružanje odvjetničkih usluga za 2013. godinu</v>
      </c>
      <c r="H605" s="1" t="str">
        <f>CONCATENATE("ODVJETNIČKO DRUŠTVO HANŽEKOVIĆ &amp; PARTNERI D.O.O., ZAGREB")</f>
        <v>ODVJETNIČKO DRUŠTVO HANŽEKOVIĆ &amp; PARTNERI D.O.O., ZAGREB</v>
      </c>
      <c r="I605" s="1" t="s">
        <v>110</v>
      </c>
      <c r="J605" s="11"/>
      <c r="K605" s="2"/>
    </row>
    <row r="606" spans="1:11" ht="63" x14ac:dyDescent="0.25">
      <c r="A606" s="1" t="str">
        <f>"580/2012"</f>
        <v>580/2012</v>
      </c>
      <c r="B606" s="1" t="s">
        <v>14</v>
      </c>
      <c r="C606" s="1" t="s">
        <v>1924</v>
      </c>
      <c r="D606" s="1" t="str">
        <f t="shared" si="2"/>
        <v>6-2012-EVV</v>
      </c>
      <c r="E606" s="1" t="s">
        <v>40</v>
      </c>
      <c r="F606" s="1" t="s">
        <v>295</v>
      </c>
      <c r="G606" s="1" t="str">
        <f t="shared" si="1"/>
        <v>10.12.2012.
do zaključenja Ugovora za pružanje odvjetničkih usluga za 2013. godinu</v>
      </c>
      <c r="H606" s="1" t="str">
        <f>CONCATENATE("GOLOMEJIĆ NADA, ODVJETNICA, ZAGREB")</f>
        <v>GOLOMEJIĆ NADA, ODVJETNICA, ZAGREB</v>
      </c>
      <c r="I606" s="1" t="s">
        <v>110</v>
      </c>
      <c r="J606" s="11"/>
      <c r="K606" s="2"/>
    </row>
    <row r="607" spans="1:11" ht="63" x14ac:dyDescent="0.25">
      <c r="A607" s="1" t="str">
        <f>"581/2012"</f>
        <v>581/2012</v>
      </c>
      <c r="B607" s="1" t="s">
        <v>14</v>
      </c>
      <c r="C607" s="1" t="s">
        <v>1924</v>
      </c>
      <c r="D607" s="1" t="str">
        <f t="shared" si="2"/>
        <v>6-2012-EVV</v>
      </c>
      <c r="E607" s="1" t="s">
        <v>40</v>
      </c>
      <c r="F607" s="1" t="s">
        <v>295</v>
      </c>
      <c r="G607" s="1" t="str">
        <f t="shared" si="1"/>
        <v>10.12.2012.
do zaključenja Ugovora za pružanje odvjetničkih usluga za 2013. godinu</v>
      </c>
      <c r="H607" s="1" t="str">
        <f>CONCATENATE("ŠPOLJARIĆ ZORAN, ODVJETNIK, ZAGREB")</f>
        <v>ŠPOLJARIĆ ZORAN, ODVJETNIK, ZAGREB</v>
      </c>
      <c r="I607" s="1" t="s">
        <v>110</v>
      </c>
      <c r="J607" s="11"/>
      <c r="K607" s="2"/>
    </row>
    <row r="608" spans="1:11" ht="63" x14ac:dyDescent="0.25">
      <c r="A608" s="1" t="str">
        <f>"582/2012"</f>
        <v>582/2012</v>
      </c>
      <c r="B608" s="1" t="s">
        <v>14</v>
      </c>
      <c r="C608" s="1" t="s">
        <v>1924</v>
      </c>
      <c r="D608" s="1" t="str">
        <f t="shared" si="2"/>
        <v>6-2012-EVV</v>
      </c>
      <c r="E608" s="1" t="s">
        <v>40</v>
      </c>
      <c r="F608" s="1" t="s">
        <v>295</v>
      </c>
      <c r="G608" s="1" t="str">
        <f t="shared" si="1"/>
        <v>10.12.2012.
do zaključenja Ugovora za pružanje odvjetničkih usluga za 2013. godinu</v>
      </c>
      <c r="H608" s="1" t="str">
        <f>CONCATENATE("VUKADIN CVETKO ANA, ZAGREB")</f>
        <v>VUKADIN CVETKO ANA, ZAGREB</v>
      </c>
      <c r="I608" s="1" t="s">
        <v>110</v>
      </c>
      <c r="J608" s="11"/>
      <c r="K608" s="2"/>
    </row>
    <row r="609" spans="1:11" ht="63" x14ac:dyDescent="0.25">
      <c r="A609" s="1" t="str">
        <f>"583/2012"</f>
        <v>583/2012</v>
      </c>
      <c r="B609" s="1" t="s">
        <v>14</v>
      </c>
      <c r="C609" s="1" t="s">
        <v>1924</v>
      </c>
      <c r="D609" s="1" t="str">
        <f t="shared" si="2"/>
        <v>6-2012-EVV</v>
      </c>
      <c r="E609" s="1" t="s">
        <v>40</v>
      </c>
      <c r="F609" s="1" t="s">
        <v>295</v>
      </c>
      <c r="G609" s="1" t="str">
        <f t="shared" si="1"/>
        <v>10.12.2012.
do zaključenja Ugovora za pružanje odvjetničkih usluga za 2013. godinu</v>
      </c>
      <c r="H609" s="1" t="str">
        <f>CONCATENATE("ODVJETNIČKO DRUŠTVO MAĐARIĆ &amp; LUI D.O.O., ZAGREB")</f>
        <v>ODVJETNIČKO DRUŠTVO MAĐARIĆ &amp; LUI D.O.O., ZAGREB</v>
      </c>
      <c r="I609" s="1" t="s">
        <v>110</v>
      </c>
      <c r="J609" s="11"/>
      <c r="K609" s="2"/>
    </row>
    <row r="610" spans="1:11" ht="63" x14ac:dyDescent="0.25">
      <c r="A610" s="1" t="str">
        <f>"584/2012"</f>
        <v>584/2012</v>
      </c>
      <c r="B610" s="1" t="s">
        <v>14</v>
      </c>
      <c r="C610" s="1" t="s">
        <v>1924</v>
      </c>
      <c r="D610" s="1" t="str">
        <f t="shared" si="2"/>
        <v>6-2012-EVV</v>
      </c>
      <c r="E610" s="1" t="s">
        <v>40</v>
      </c>
      <c r="F610" s="1" t="s">
        <v>295</v>
      </c>
      <c r="G610" s="1" t="str">
        <f t="shared" si="1"/>
        <v>10.12.2012.
do zaključenja Ugovora za pružanje odvjetničkih usluga za 2013. godinu</v>
      </c>
      <c r="H610" s="1" t="str">
        <f>CONCATENATE("RUBEŠA TIHOMIR, ODVJETNIK, ZAGREB")</f>
        <v>RUBEŠA TIHOMIR, ODVJETNIK, ZAGREB</v>
      </c>
      <c r="I610" s="1" t="s">
        <v>110</v>
      </c>
      <c r="J610" s="11"/>
      <c r="K610" s="2"/>
    </row>
    <row r="611" spans="1:11" ht="63" x14ac:dyDescent="0.25">
      <c r="A611" s="1" t="str">
        <f>"585/2012"</f>
        <v>585/2012</v>
      </c>
      <c r="B611" s="1" t="s">
        <v>14</v>
      </c>
      <c r="C611" s="1" t="s">
        <v>1924</v>
      </c>
      <c r="D611" s="1" t="str">
        <f t="shared" si="2"/>
        <v>6-2012-EVV</v>
      </c>
      <c r="E611" s="1" t="s">
        <v>40</v>
      </c>
      <c r="F611" s="1" t="s">
        <v>295</v>
      </c>
      <c r="G611" s="1" t="str">
        <f t="shared" si="1"/>
        <v>10.12.2012.
do zaključenja Ugovora za pružanje odvjetničkih usluga za 2013. godinu</v>
      </c>
      <c r="H611" s="1" t="str">
        <f>CONCATENATE("SUČEVIĆ I PARTNERI, ODVJETNIČKO DRUŠTVO D.O.O, ZAGREB")</f>
        <v>SUČEVIĆ I PARTNERI, ODVJETNIČKO DRUŠTVO D.O.O, ZAGREB</v>
      </c>
      <c r="I611" s="1" t="s">
        <v>110</v>
      </c>
      <c r="J611" s="11"/>
      <c r="K611" s="2"/>
    </row>
    <row r="612" spans="1:11" ht="63" customHeight="1" x14ac:dyDescent="0.25">
      <c r="A612" s="1" t="str">
        <f>"586/2012"</f>
        <v>586/2012</v>
      </c>
      <c r="B612" s="1" t="s">
        <v>14</v>
      </c>
      <c r="C612" s="1" t="s">
        <v>1924</v>
      </c>
      <c r="D612" s="1" t="str">
        <f t="shared" si="2"/>
        <v>6-2012-EVV</v>
      </c>
      <c r="E612" s="1" t="s">
        <v>40</v>
      </c>
      <c r="F612" s="1" t="s">
        <v>295</v>
      </c>
      <c r="G612" s="1" t="str">
        <f t="shared" si="1"/>
        <v>10.12.2012.
do zaključenja Ugovora za pružanje odvjetničkih usluga za 2013. godinu</v>
      </c>
      <c r="H612" s="1" t="str">
        <f>CONCATENATE("KNEZOVIĆ VINKO, ODVJETNIK, ZAGREB")</f>
        <v>KNEZOVIĆ VINKO, ODVJETNIK, ZAGREB</v>
      </c>
      <c r="I612" s="1" t="s">
        <v>110</v>
      </c>
      <c r="J612" s="11"/>
      <c r="K612" s="2"/>
    </row>
    <row r="613" spans="1:11" ht="63" x14ac:dyDescent="0.25">
      <c r="A613" s="1" t="str">
        <f>"587/2012"</f>
        <v>587/2012</v>
      </c>
      <c r="B613" s="1" t="s">
        <v>14</v>
      </c>
      <c r="C613" s="1" t="s">
        <v>1924</v>
      </c>
      <c r="D613" s="1" t="str">
        <f t="shared" si="2"/>
        <v>6-2012-EVV</v>
      </c>
      <c r="E613" s="1" t="s">
        <v>40</v>
      </c>
      <c r="F613" s="1" t="s">
        <v>295</v>
      </c>
      <c r="G613" s="1" t="str">
        <f t="shared" si="1"/>
        <v>10.12.2012.
do zaključenja Ugovora za pružanje odvjetničkih usluga za 2013. godinu</v>
      </c>
      <c r="H613" s="1" t="str">
        <f>CONCATENATE("DERVIŠBEGOVIĆ ALMIR, ODVJETNIK, ZAGREB")</f>
        <v>DERVIŠBEGOVIĆ ALMIR, ODVJETNIK, ZAGREB</v>
      </c>
      <c r="I613" s="1" t="s">
        <v>110</v>
      </c>
      <c r="J613" s="11"/>
      <c r="K613" s="2"/>
    </row>
    <row r="614" spans="1:11" ht="63" x14ac:dyDescent="0.25">
      <c r="A614" s="1" t="str">
        <f>"588/2012"</f>
        <v>588/2012</v>
      </c>
      <c r="B614" s="1" t="s">
        <v>14</v>
      </c>
      <c r="C614" s="1" t="s">
        <v>1924</v>
      </c>
      <c r="D614" s="1" t="str">
        <f t="shared" si="2"/>
        <v>6-2012-EVV</v>
      </c>
      <c r="E614" s="1" t="s">
        <v>40</v>
      </c>
      <c r="F614" s="1" t="s">
        <v>295</v>
      </c>
      <c r="G614" s="1" t="str">
        <f t="shared" si="1"/>
        <v>10.12.2012.
do zaključenja Ugovora za pružanje odvjetničkih usluga za 2013. godinu</v>
      </c>
      <c r="H614" s="1" t="str">
        <f>CONCATENATE("NOGOLICA LJILJANA, ODVJETNICA, ZAGREB")</f>
        <v>NOGOLICA LJILJANA, ODVJETNICA, ZAGREB</v>
      </c>
      <c r="I614" s="1" t="s">
        <v>110</v>
      </c>
      <c r="J614" s="9"/>
      <c r="K614" s="2"/>
    </row>
    <row r="615" spans="1:11" ht="63" x14ac:dyDescent="0.25">
      <c r="A615" s="1" t="str">
        <f>"589/2012"</f>
        <v>589/2012</v>
      </c>
      <c r="B615" s="1" t="s">
        <v>14</v>
      </c>
      <c r="C615" s="1" t="s">
        <v>1924</v>
      </c>
      <c r="D615" s="1" t="str">
        <f t="shared" si="2"/>
        <v>6-2012-EVV</v>
      </c>
      <c r="E615" s="1" t="s">
        <v>40</v>
      </c>
      <c r="F615" s="1" t="s">
        <v>295</v>
      </c>
      <c r="G615" s="1" t="str">
        <f t="shared" si="1"/>
        <v>10.12.2012.
do zaključenja Ugovora za pružanje odvjetničkih usluga za 2013. godinu</v>
      </c>
      <c r="H615" s="1" t="str">
        <f>CONCATENATE("POSAVEC, RAŠICA &amp; LISZT ODVJETNIČKO DRUŠTVO D.O.O., ZAGREB")</f>
        <v>POSAVEC, RAŠICA &amp; LISZT ODVJETNIČKO DRUŠTVO D.O.O., ZAGREB</v>
      </c>
      <c r="I615" s="1" t="s">
        <v>110</v>
      </c>
      <c r="J615" s="10" t="s">
        <v>2904</v>
      </c>
      <c r="K615" s="2"/>
    </row>
    <row r="616" spans="1:11" ht="63" x14ac:dyDescent="0.25">
      <c r="A616" s="1" t="str">
        <f>"591/2012"</f>
        <v>591/2012</v>
      </c>
      <c r="B616" s="1" t="s">
        <v>14</v>
      </c>
      <c r="C616" s="1" t="s">
        <v>1924</v>
      </c>
      <c r="D616" s="1" t="str">
        <f t="shared" ref="D616:D629" si="3">"6-2012-EVV"</f>
        <v>6-2012-EVV</v>
      </c>
      <c r="E616" s="1" t="s">
        <v>40</v>
      </c>
      <c r="F616" s="1" t="s">
        <v>295</v>
      </c>
      <c r="G616" s="1" t="str">
        <f t="shared" si="1"/>
        <v>10.12.2012.
do zaključenja Ugovora za pružanje odvjetničkih usluga za 2013. godinu</v>
      </c>
      <c r="H616" s="1" t="str">
        <f>CONCATENATE("ANTOLIĆ I SURADNICI, ODVJETNIČKO DRUŠTVO, JAVNO TRGOVAČKO DRUŠTVO, ZAGREB")</f>
        <v>ANTOLIĆ I SURADNICI, ODVJETNIČKO DRUŠTVO, JAVNO TRGOVAČKO DRUŠTVO, ZAGREB</v>
      </c>
      <c r="I616" s="1" t="s">
        <v>110</v>
      </c>
      <c r="J616" s="11"/>
      <c r="K616" s="2"/>
    </row>
    <row r="617" spans="1:11" ht="63" x14ac:dyDescent="0.25">
      <c r="A617" s="1" t="str">
        <f>"592/2012"</f>
        <v>592/2012</v>
      </c>
      <c r="B617" s="1" t="s">
        <v>14</v>
      </c>
      <c r="C617" s="1" t="s">
        <v>1924</v>
      </c>
      <c r="D617" s="1" t="str">
        <f t="shared" si="3"/>
        <v>6-2012-EVV</v>
      </c>
      <c r="E617" s="1" t="s">
        <v>40</v>
      </c>
      <c r="F617" s="1" t="s">
        <v>295</v>
      </c>
      <c r="G617" s="1" t="str">
        <f t="shared" si="1"/>
        <v>10.12.2012.
do zaključenja Ugovora za pružanje odvjetničkih usluga za 2013. godinu</v>
      </c>
      <c r="H617" s="1" t="str">
        <f>CONCATENATE("ODVJETNIČKO DRUŠTVO BUDIN-PENIĆ-SKERLEV J.T.D., ZAGREB")</f>
        <v>ODVJETNIČKO DRUŠTVO BUDIN-PENIĆ-SKERLEV J.T.D., ZAGREB</v>
      </c>
      <c r="I617" s="1" t="s">
        <v>110</v>
      </c>
      <c r="J617" s="11"/>
      <c r="K617" s="2"/>
    </row>
    <row r="618" spans="1:11" ht="63" x14ac:dyDescent="0.25">
      <c r="A618" s="1" t="str">
        <f>"593/2012"</f>
        <v>593/2012</v>
      </c>
      <c r="B618" s="1" t="s">
        <v>14</v>
      </c>
      <c r="C618" s="1" t="s">
        <v>1924</v>
      </c>
      <c r="D618" s="1" t="str">
        <f t="shared" si="3"/>
        <v>6-2012-EVV</v>
      </c>
      <c r="E618" s="1" t="s">
        <v>40</v>
      </c>
      <c r="F618" s="1" t="s">
        <v>295</v>
      </c>
      <c r="G618" s="1" t="str">
        <f t="shared" si="1"/>
        <v>10.12.2012.
do zaključenja Ugovora za pružanje odvjetničkih usluga za 2013. godinu</v>
      </c>
      <c r="H618" s="1" t="str">
        <f>CONCATENATE("ĐEREK BOŽIDAR, ODVJETNIK, ZAGREB")</f>
        <v>ĐEREK BOŽIDAR, ODVJETNIK, ZAGREB</v>
      </c>
      <c r="I618" s="1" t="s">
        <v>110</v>
      </c>
      <c r="J618" s="11"/>
      <c r="K618" s="2"/>
    </row>
    <row r="619" spans="1:11" ht="63" x14ac:dyDescent="0.25">
      <c r="A619" s="1" t="str">
        <f>"594/2012"</f>
        <v>594/2012</v>
      </c>
      <c r="B619" s="1" t="s">
        <v>14</v>
      </c>
      <c r="C619" s="1" t="s">
        <v>1924</v>
      </c>
      <c r="D619" s="1" t="str">
        <f t="shared" si="3"/>
        <v>6-2012-EVV</v>
      </c>
      <c r="E619" s="1" t="s">
        <v>40</v>
      </c>
      <c r="F619" s="1" t="s">
        <v>295</v>
      </c>
      <c r="G619" s="1" t="str">
        <f t="shared" si="1"/>
        <v>10.12.2012.
do zaključenja Ugovora za pružanje odvjetničkih usluga za 2013. godinu</v>
      </c>
      <c r="H619" s="1" t="str">
        <f>CONCATENATE("KRIŽ ROMEK MAJA, ODVJETNICA, ZAGREB")</f>
        <v>KRIŽ ROMEK MAJA, ODVJETNICA, ZAGREB</v>
      </c>
      <c r="I619" s="1" t="s">
        <v>110</v>
      </c>
      <c r="J619" s="11"/>
      <c r="K619" s="2"/>
    </row>
    <row r="620" spans="1:11" ht="63" x14ac:dyDescent="0.25">
      <c r="A620" s="1" t="str">
        <f>"595/2012"</f>
        <v>595/2012</v>
      </c>
      <c r="B620" s="1" t="s">
        <v>14</v>
      </c>
      <c r="C620" s="1" t="s">
        <v>1924</v>
      </c>
      <c r="D620" s="1" t="str">
        <f t="shared" si="3"/>
        <v>6-2012-EVV</v>
      </c>
      <c r="E620" s="1" t="s">
        <v>40</v>
      </c>
      <c r="F620" s="1" t="s">
        <v>295</v>
      </c>
      <c r="G620" s="1" t="str">
        <f t="shared" si="1"/>
        <v>10.12.2012.
do zaključenja Ugovora za pružanje odvjetničkih usluga za 2013. godinu</v>
      </c>
      <c r="H620" s="1" t="str">
        <f>CONCATENATE("HUKELJ ANITA, ODVJETNICA, ZAGREB")</f>
        <v>HUKELJ ANITA, ODVJETNICA, ZAGREB</v>
      </c>
      <c r="I620" s="1" t="s">
        <v>110</v>
      </c>
      <c r="J620" s="11"/>
      <c r="K620" s="2"/>
    </row>
    <row r="621" spans="1:11" ht="63" x14ac:dyDescent="0.25">
      <c r="A621" s="1" t="str">
        <f>"596/2012"</f>
        <v>596/2012</v>
      </c>
      <c r="B621" s="1" t="s">
        <v>14</v>
      </c>
      <c r="C621" s="1" t="s">
        <v>1924</v>
      </c>
      <c r="D621" s="1" t="str">
        <f t="shared" si="3"/>
        <v>6-2012-EVV</v>
      </c>
      <c r="E621" s="1" t="s">
        <v>40</v>
      </c>
      <c r="F621" s="1" t="s">
        <v>295</v>
      </c>
      <c r="G621" s="1" t="str">
        <f t="shared" si="1"/>
        <v>10.12.2012.
do zaključenja Ugovora za pružanje odvjetničkih usluga za 2013. godinu</v>
      </c>
      <c r="H621" s="1" t="str">
        <f>CONCATENATE("ODVJETNIČKO DRUŠTVO PALATINUŠ I PARTNERI J.T.D., ZAGREB")</f>
        <v>ODVJETNIČKO DRUŠTVO PALATINUŠ I PARTNERI J.T.D., ZAGREB</v>
      </c>
      <c r="I621" s="1" t="s">
        <v>110</v>
      </c>
      <c r="J621" s="11"/>
      <c r="K621" s="2"/>
    </row>
    <row r="622" spans="1:11" ht="63" x14ac:dyDescent="0.25">
      <c r="A622" s="1" t="str">
        <f>"597/2012"</f>
        <v>597/2012</v>
      </c>
      <c r="B622" s="1" t="s">
        <v>14</v>
      </c>
      <c r="C622" s="1" t="s">
        <v>1924</v>
      </c>
      <c r="D622" s="1" t="str">
        <f t="shared" si="3"/>
        <v>6-2012-EVV</v>
      </c>
      <c r="E622" s="1" t="s">
        <v>40</v>
      </c>
      <c r="F622" s="1" t="s">
        <v>295</v>
      </c>
      <c r="G622" s="1" t="str">
        <f t="shared" si="1"/>
        <v>10.12.2012.
do zaključenja Ugovora za pružanje odvjetničkih usluga za 2013. godinu</v>
      </c>
      <c r="H622" s="1" t="str">
        <f>CONCATENATE("CARATAN KRENEDIĆ VANJA, ODVJETNICA, ZAGREB")</f>
        <v>CARATAN KRENEDIĆ VANJA, ODVJETNICA, ZAGREB</v>
      </c>
      <c r="I622" s="1" t="s">
        <v>110</v>
      </c>
      <c r="J622" s="11"/>
      <c r="K622" s="2"/>
    </row>
    <row r="623" spans="1:11" ht="63" x14ac:dyDescent="0.25">
      <c r="A623" s="1" t="str">
        <f>"598/2012"</f>
        <v>598/2012</v>
      </c>
      <c r="B623" s="1" t="s">
        <v>14</v>
      </c>
      <c r="C623" s="1" t="s">
        <v>1924</v>
      </c>
      <c r="D623" s="1" t="str">
        <f t="shared" si="3"/>
        <v>6-2012-EVV</v>
      </c>
      <c r="E623" s="1" t="s">
        <v>40</v>
      </c>
      <c r="F623" s="1" t="s">
        <v>295</v>
      </c>
      <c r="G623" s="1" t="str">
        <f t="shared" si="1"/>
        <v>10.12.2012.
do zaključenja Ugovora za pružanje odvjetničkih usluga za 2013. godinu</v>
      </c>
      <c r="H623" s="1" t="str">
        <f>CONCATENATE("ODVJETNIČKO DRUŠTVO ŠUNIĆ I PARTNERI J. T. D., ZAGREB")</f>
        <v>ODVJETNIČKO DRUŠTVO ŠUNIĆ I PARTNERI J. T. D., ZAGREB</v>
      </c>
      <c r="I623" s="1" t="s">
        <v>110</v>
      </c>
      <c r="J623" s="11"/>
      <c r="K623" s="2"/>
    </row>
    <row r="624" spans="1:11" ht="63" x14ac:dyDescent="0.25">
      <c r="A624" s="1" t="str">
        <f>"599/2012"</f>
        <v>599/2012</v>
      </c>
      <c r="B624" s="1" t="s">
        <v>14</v>
      </c>
      <c r="C624" s="1" t="s">
        <v>1924</v>
      </c>
      <c r="D624" s="1" t="str">
        <f t="shared" si="3"/>
        <v>6-2012-EVV</v>
      </c>
      <c r="E624" s="1" t="s">
        <v>40</v>
      </c>
      <c r="F624" s="1" t="s">
        <v>295</v>
      </c>
      <c r="G624" s="1" t="str">
        <f t="shared" si="1"/>
        <v>10.12.2012.
do zaključenja Ugovora za pružanje odvjetničkih usluga za 2013. godinu</v>
      </c>
      <c r="H624" s="1" t="str">
        <f>CONCATENATE("LEDIĆ DOMAGOJ I IVAN KALEB, ODVJETNICI IZ ZAJEDNIČKOG ODVJETNIČKOG UREDA, ZAGREB")</f>
        <v>LEDIĆ DOMAGOJ I IVAN KALEB, ODVJETNICI IZ ZAJEDNIČKOG ODVJETNIČKOG UREDA, ZAGREB</v>
      </c>
      <c r="I624" s="1" t="s">
        <v>110</v>
      </c>
      <c r="J624" s="11"/>
      <c r="K624" s="2"/>
    </row>
    <row r="625" spans="1:11" ht="63" x14ac:dyDescent="0.25">
      <c r="A625" s="1" t="str">
        <f>"600/2012"</f>
        <v>600/2012</v>
      </c>
      <c r="B625" s="1" t="s">
        <v>14</v>
      </c>
      <c r="C625" s="1" t="s">
        <v>1924</v>
      </c>
      <c r="D625" s="1" t="str">
        <f t="shared" si="3"/>
        <v>6-2012-EVV</v>
      </c>
      <c r="E625" s="1" t="s">
        <v>40</v>
      </c>
      <c r="F625" s="1" t="s">
        <v>295</v>
      </c>
      <c r="G625" s="1" t="str">
        <f t="shared" si="1"/>
        <v>10.12.2012.
do zaključenja Ugovora za pružanje odvjetničkih usluga za 2013. godinu</v>
      </c>
      <c r="H625" s="1" t="str">
        <f>CONCATENATE("DANIELA POPOVIĆ, ODVJETNICA, ZAGREB")</f>
        <v>DANIELA POPOVIĆ, ODVJETNICA, ZAGREB</v>
      </c>
      <c r="I625" s="1" t="s">
        <v>110</v>
      </c>
      <c r="J625" s="11"/>
      <c r="K625" s="2"/>
    </row>
    <row r="626" spans="1:11" ht="63" x14ac:dyDescent="0.25">
      <c r="A626" s="1" t="str">
        <f>"601/2012"</f>
        <v>601/2012</v>
      </c>
      <c r="B626" s="1" t="s">
        <v>14</v>
      </c>
      <c r="C626" s="1" t="s">
        <v>1924</v>
      </c>
      <c r="D626" s="1" t="str">
        <f t="shared" si="3"/>
        <v>6-2012-EVV</v>
      </c>
      <c r="E626" s="1" t="s">
        <v>40</v>
      </c>
      <c r="F626" s="1" t="s">
        <v>295</v>
      </c>
      <c r="G626" s="1" t="str">
        <f t="shared" si="1"/>
        <v>10.12.2012.
do zaključenja Ugovora za pružanje odvjetničkih usluga za 2013. godinu</v>
      </c>
      <c r="H626" s="1" t="str">
        <f>CONCATENATE("MARKUŠIĆ DARKO, ZAGREB")</f>
        <v>MARKUŠIĆ DARKO, ZAGREB</v>
      </c>
      <c r="I626" s="1" t="s">
        <v>110</v>
      </c>
      <c r="J626" s="11"/>
      <c r="K626" s="2"/>
    </row>
    <row r="627" spans="1:11" ht="63" customHeight="1" x14ac:dyDescent="0.25">
      <c r="A627" s="1" t="str">
        <f>"602/2012"</f>
        <v>602/2012</v>
      </c>
      <c r="B627" s="1" t="s">
        <v>14</v>
      </c>
      <c r="C627" s="1" t="s">
        <v>1924</v>
      </c>
      <c r="D627" s="1" t="str">
        <f t="shared" si="3"/>
        <v>6-2012-EVV</v>
      </c>
      <c r="E627" s="1" t="s">
        <v>40</v>
      </c>
      <c r="F627" s="1" t="s">
        <v>295</v>
      </c>
      <c r="G627" s="1" t="str">
        <f t="shared" si="1"/>
        <v>10.12.2012.
do zaključenja Ugovora za pružanje odvjetničkih usluga za 2013. godinu</v>
      </c>
      <c r="H627" s="1" t="str">
        <f>CONCATENATE("ZORAN GALIĆ, ODVJETNIK, ZAGREB")</f>
        <v>ZORAN GALIĆ, ODVJETNIK, ZAGREB</v>
      </c>
      <c r="I627" s="1" t="s">
        <v>110</v>
      </c>
      <c r="J627" s="11"/>
      <c r="K627" s="2"/>
    </row>
    <row r="628" spans="1:11" ht="63" x14ac:dyDescent="0.25">
      <c r="A628" s="1" t="str">
        <f>"603/2012"</f>
        <v>603/2012</v>
      </c>
      <c r="B628" s="1" t="s">
        <v>14</v>
      </c>
      <c r="C628" s="1" t="s">
        <v>1924</v>
      </c>
      <c r="D628" s="1" t="str">
        <f t="shared" si="3"/>
        <v>6-2012-EVV</v>
      </c>
      <c r="E628" s="1" t="s">
        <v>40</v>
      </c>
      <c r="F628" s="1" t="s">
        <v>295</v>
      </c>
      <c r="G628" s="1" t="str">
        <f t="shared" si="1"/>
        <v>10.12.2012.
do zaključenja Ugovora za pružanje odvjetničkih usluga za 2013. godinu</v>
      </c>
      <c r="H628" s="1" t="str">
        <f>CONCATENATE("ODVJETNIČKO DRUŠTVO RUDE I PARTNERI J.T.D., ŠIBENIK")</f>
        <v>ODVJETNIČKO DRUŠTVO RUDE I PARTNERI J.T.D., ŠIBENIK</v>
      </c>
      <c r="I628" s="1" t="s">
        <v>110</v>
      </c>
      <c r="J628" s="11"/>
      <c r="K628" s="2"/>
    </row>
    <row r="629" spans="1:11" ht="63" x14ac:dyDescent="0.25">
      <c r="A629" s="1" t="str">
        <f>"604/2012"</f>
        <v>604/2012</v>
      </c>
      <c r="B629" s="1" t="s">
        <v>14</v>
      </c>
      <c r="C629" s="1" t="s">
        <v>1924</v>
      </c>
      <c r="D629" s="1" t="str">
        <f t="shared" si="3"/>
        <v>6-2012-EVV</v>
      </c>
      <c r="E629" s="1" t="s">
        <v>40</v>
      </c>
      <c r="F629" s="1" t="s">
        <v>295</v>
      </c>
      <c r="G629" s="1" t="str">
        <f t="shared" si="1"/>
        <v>10.12.2012.
do zaključenja Ugovora za pružanje odvjetničkih usluga za 2013. godinu</v>
      </c>
      <c r="H629" s="1" t="str">
        <f>CONCATENATE("PODLIPEC VEDRAN, ODVJETNIK, ZAGREB")</f>
        <v>PODLIPEC VEDRAN, ODVJETNIK, ZAGREB</v>
      </c>
      <c r="I629" s="1" t="s">
        <v>110</v>
      </c>
      <c r="J629" s="9"/>
      <c r="K629" s="2"/>
    </row>
    <row r="630" spans="1:11" ht="63" x14ac:dyDescent="0.25">
      <c r="A630" s="1" t="str">
        <f>"605/2012"</f>
        <v>605/2012</v>
      </c>
      <c r="B630" s="1" t="s">
        <v>14</v>
      </c>
      <c r="C630" s="1" t="s">
        <v>1936</v>
      </c>
      <c r="D630" s="1" t="str">
        <f>CONCATENATE("1954-2012-EMV",CHAR(10),"2012/S 002-0058929 od 11.09.2012.")</f>
        <v>1954-2012-EMV
2012/S 002-0058929 od 11.09.2012.</v>
      </c>
      <c r="E630" s="1" t="s">
        <v>15</v>
      </c>
      <c r="F630" s="1" t="str">
        <f>"31.500,00"</f>
        <v>31.500,00</v>
      </c>
      <c r="G630" s="1" t="str">
        <f>CONCATENATE("11.12.2012.",CHAR(10),"180 dana, računajući od dana obostranog potpisa Ugovora")</f>
        <v>11.12.2012.
180 dana, računajući od dana obostranog potpisa Ugovora</v>
      </c>
      <c r="H630" s="1" t="str">
        <f>CONCATENATE("EKO-PLAN D.O.O., ZAGREB",CHAR(10),"GEOPROJEKT D.O.O., ZAGREB")</f>
        <v>EKO-PLAN D.O.O., ZAGREB
GEOPROJEKT D.O.O., ZAGREB</v>
      </c>
      <c r="I630" s="2"/>
      <c r="J630" s="3"/>
      <c r="K630" s="2"/>
    </row>
    <row r="631" spans="1:11" ht="47.25" x14ac:dyDescent="0.25">
      <c r="A631" s="1" t="str">
        <f>"606/2012"</f>
        <v>606/2012</v>
      </c>
      <c r="B631" s="1" t="s">
        <v>14</v>
      </c>
      <c r="C631" s="1" t="s">
        <v>1937</v>
      </c>
      <c r="D631" s="1" t="str">
        <f>CONCATENATE("2621-2012-EMV",CHAR(10),"2012/S 002-0053683 od 24.08.2012.")</f>
        <v>2621-2012-EMV
2012/S 002-0053683 od 24.08.2012.</v>
      </c>
      <c r="E631" s="1" t="s">
        <v>15</v>
      </c>
      <c r="F631" s="1" t="str">
        <f>"495.147,50"</f>
        <v>495.147,50</v>
      </c>
      <c r="G631" s="1" t="str">
        <f>CONCATENATE("11.12.2012.",CHAR(10),"2 mjeseca, računajući od dana uvođenja u posao")</f>
        <v>11.12.2012.
2 mjeseca, računajući od dana uvođenja u posao</v>
      </c>
      <c r="H631" s="1" t="str">
        <f>CONCATENATE("INSTAL-PROM D.O.O., ZAGREB")</f>
        <v>INSTAL-PROM D.O.O., ZAGREB</v>
      </c>
      <c r="I631" s="1" t="s">
        <v>66</v>
      </c>
      <c r="J631" s="1" t="str">
        <f>SUBSTITUTE(SUBSTITUTE(SUBSTITUTE("617,655.68",".","-"),",","."),"-",",")</f>
        <v>617.655,68</v>
      </c>
      <c r="K631" s="2"/>
    </row>
    <row r="632" spans="1:11" ht="47.25" x14ac:dyDescent="0.25">
      <c r="A632" s="1" t="str">
        <f>"607/2012"</f>
        <v>607/2012</v>
      </c>
      <c r="B632" s="1" t="s">
        <v>14</v>
      </c>
      <c r="C632" s="1" t="s">
        <v>1938</v>
      </c>
      <c r="D632" s="1" t="str">
        <f>CONCATENATE("1127-2012-EMV",CHAR(10),"2012/S 002-0056266 od 03.09.2012.")</f>
        <v>1127-2012-EMV
2012/S 002-0056266 od 03.09.2012.</v>
      </c>
      <c r="E632" s="1" t="s">
        <v>15</v>
      </c>
      <c r="F632" s="1" t="str">
        <f>"160.000,00"</f>
        <v>160.000,00</v>
      </c>
      <c r="G632" s="1" t="str">
        <f>CONCATENATE("11.12.2012.",CHAR(10),"4 mjeseca, računajući od dana uvođenja u posao")</f>
        <v>11.12.2012.
4 mjeseca, računajući od dana uvođenja u posao</v>
      </c>
      <c r="H632" s="1" t="str">
        <f>CONCATENATE("DARH 2 D.O.O., SAMOBOR")</f>
        <v>DARH 2 D.O.O., SAMOBOR</v>
      </c>
      <c r="I632" s="1" t="s">
        <v>231</v>
      </c>
      <c r="J632" s="1" t="str">
        <f>SUBSTITUTE(SUBSTITUTE(SUBSTITUTE("200,000.00",".","-"),",","."),"-",",")</f>
        <v>200.000,00</v>
      </c>
      <c r="K632" s="2"/>
    </row>
    <row r="633" spans="1:11" ht="47.25" x14ac:dyDescent="0.25">
      <c r="A633" s="1" t="str">
        <f>"608/2012"</f>
        <v>608/2012</v>
      </c>
      <c r="B633" s="1" t="s">
        <v>14</v>
      </c>
      <c r="C633" s="1" t="s">
        <v>1939</v>
      </c>
      <c r="D633" s="1" t="str">
        <f>CONCATENATE("829-2012-EMV",CHAR(10),"2012/S 002-0060392 od 14.09.2012.")</f>
        <v>829-2012-EMV
2012/S 002-0060392 od 14.09.2012.</v>
      </c>
      <c r="E633" s="1" t="s">
        <v>15</v>
      </c>
      <c r="F633" s="1" t="str">
        <f>"490.083,66"</f>
        <v>490.083,66</v>
      </c>
      <c r="G633" s="1" t="str">
        <f>CONCATENATE("11.12.2012.",CHAR(10),"12 mjeseci, računajući od dana obostranog potpisa Ugovora")</f>
        <v>11.12.2012.
12 mjeseci, računajući od dana obostranog potpisa Ugovora</v>
      </c>
      <c r="H633" s="1" t="str">
        <f>CONCATENATE("KOM-EKO D.O.O., ZAGREB")</f>
        <v>KOM-EKO D.O.O., ZAGREB</v>
      </c>
      <c r="I633" s="1" t="s">
        <v>53</v>
      </c>
      <c r="J633" s="1" t="str">
        <f>SUBSTITUTE(SUBSTITUTE(SUBSTITUTE("612,604.58",".","-"),",","."),"-",",")</f>
        <v>612.604,58</v>
      </c>
      <c r="K633" s="2"/>
    </row>
    <row r="634" spans="1:11" ht="47.25" x14ac:dyDescent="0.25">
      <c r="A634" s="1" t="str">
        <f>"A-25/2012"</f>
        <v>A-25/2012</v>
      </c>
      <c r="B634" s="1" t="s">
        <v>11</v>
      </c>
      <c r="C634" s="1" t="s">
        <v>1940</v>
      </c>
      <c r="D634" s="1" t="str">
        <f>"EV-469-009/2011"</f>
        <v>EV-469-009/2011</v>
      </c>
      <c r="E634" s="2"/>
      <c r="F634" s="1" t="str">
        <f>"0,00"</f>
        <v>0,00</v>
      </c>
      <c r="G634" s="1" t="str">
        <f>CONCATENATE("11.12.2012.",CHAR(10),"u roku od 220 dana, računajući od 01.07.2012.")</f>
        <v>11.12.2012.
u roku od 220 dana, računajući od 01.07.2012.</v>
      </c>
      <c r="H634" s="1" t="str">
        <f>CONCATENATE("TEH-GRADNJA D.O.O., ZAGREB")</f>
        <v>TEH-GRADNJA D.O.O., ZAGREB</v>
      </c>
      <c r="I634" s="2"/>
      <c r="J634" s="1"/>
      <c r="K634" s="2"/>
    </row>
    <row r="635" spans="1:11" ht="63" x14ac:dyDescent="0.25">
      <c r="A635" s="1" t="str">
        <f>"609/2012"</f>
        <v>609/2012</v>
      </c>
      <c r="B635" s="1" t="s">
        <v>14</v>
      </c>
      <c r="C635" s="1" t="s">
        <v>1941</v>
      </c>
      <c r="D635" s="1" t="str">
        <f>"2622-2012-EMV"</f>
        <v>2622-2012-EMV</v>
      </c>
      <c r="E635" s="1" t="s">
        <v>12</v>
      </c>
      <c r="F635" s="1" t="str">
        <f>"281.300,00"</f>
        <v>281.300,00</v>
      </c>
      <c r="G635" s="1" t="str">
        <f>CONCATENATE("12.12.2012.",CHAR(10),"70 dana, računajući od dana uvođenja u posao")</f>
        <v>12.12.2012.
70 dana, računajući od dana uvođenja u posao</v>
      </c>
      <c r="H635" s="1" t="str">
        <f>CONCATENATE("GEOTEHNIČKI STUDIO D.O.O., ZAGREB",CHAR(10),"RIJEKAPROJEKT-GEOTEHNIČKO ISTRAŽIVANJE D.O.O., RIJEKA")</f>
        <v>GEOTEHNIČKI STUDIO D.O.O., ZAGREB
RIJEKAPROJEKT-GEOTEHNIČKO ISTRAŽIVANJE D.O.O., RIJEKA</v>
      </c>
      <c r="I635" s="1" t="s">
        <v>109</v>
      </c>
      <c r="J635" s="1" t="str">
        <f>SUBSTITUTE(SUBSTITUTE(SUBSTITUTE("351,625.00",".","-"),",","."),"-",",")</f>
        <v>351.625,00</v>
      </c>
      <c r="K635" s="2"/>
    </row>
    <row r="636" spans="1:11" ht="78.75" x14ac:dyDescent="0.25">
      <c r="A636" s="1" t="str">
        <f>"610/2012"</f>
        <v>610/2012</v>
      </c>
      <c r="B636" s="1" t="s">
        <v>14</v>
      </c>
      <c r="C636" s="1" t="s">
        <v>1942</v>
      </c>
      <c r="D636" s="1" t="str">
        <f>CONCATENATE("894-2012-EMV",CHAR(10),"2012/S 002-0057849 od 07.09.2012.")</f>
        <v>894-2012-EMV
2012/S 002-0057849 od 07.09.2012.</v>
      </c>
      <c r="E636" s="1" t="s">
        <v>15</v>
      </c>
      <c r="F636" s="1" t="str">
        <f>"248.000,00"</f>
        <v>248.000,00</v>
      </c>
      <c r="G636" s="1" t="str">
        <f>CONCATENATE("12.12.2012.",CHAR(10),"6 mjeseci od dana obostranog potpisa Ugovora")</f>
        <v>12.12.2012.
6 mjeseci od dana obostranog potpisa Ugovora</v>
      </c>
      <c r="H636" s="1" t="str">
        <f>CONCATENATE("SVEUČILIŠTE U ZAGREBU FAKULTET PROMETNIH ZNANOSTI, ZAGREB",CHAR(10),"GEODATA TUNEL D.O.O., ZAGREB",CHAR(10),"GEODATA ENGINEERING S.P.A., TORINO")</f>
        <v>SVEUČILIŠTE U ZAGREBU FAKULTET PROMETNIH ZNANOSTI, ZAGREB
GEODATA TUNEL D.O.O., ZAGREB
GEODATA ENGINEERING S.P.A., TORINO</v>
      </c>
      <c r="I636" s="1" t="s">
        <v>296</v>
      </c>
      <c r="J636" s="1" t="str">
        <f>SUBSTITUTE(SUBSTITUTE(SUBSTITUTE("310,000.00",".","-"),",","."),"-",",")</f>
        <v>310.000,00</v>
      </c>
      <c r="K636" s="2"/>
    </row>
    <row r="637" spans="1:11" ht="47.25" x14ac:dyDescent="0.25">
      <c r="A637" s="1" t="str">
        <f>"A-26/2012"</f>
        <v>A-26/2012</v>
      </c>
      <c r="B637" s="1" t="s">
        <v>11</v>
      </c>
      <c r="C637" s="1" t="s">
        <v>1943</v>
      </c>
      <c r="D637" s="1" t="str">
        <f>"EV-592-012/2011"</f>
        <v>EV-592-012/2011</v>
      </c>
      <c r="E637" s="2"/>
      <c r="F637" s="1" t="str">
        <f>"0,00"</f>
        <v>0,00</v>
      </c>
      <c r="G637" s="1" t="str">
        <f>CONCATENATE("12.12.2012.",CHAR(10),"u roku od 270 dana od dana uvođenja u posao")</f>
        <v>12.12.2012.
u roku od 270 dana od dana uvođenja u posao</v>
      </c>
      <c r="H637" s="1" t="str">
        <f>CONCATENATE("NEXE GRADNJA D.O.O., NAŠICE")</f>
        <v>NEXE GRADNJA D.O.O., NAŠICE</v>
      </c>
      <c r="I637" s="2"/>
      <c r="J637" s="1"/>
      <c r="K637" s="2"/>
    </row>
    <row r="638" spans="1:11" ht="63" x14ac:dyDescent="0.25">
      <c r="A638" s="1" t="str">
        <f>"611/2012"</f>
        <v>611/2012</v>
      </c>
      <c r="B638" s="1" t="s">
        <v>14</v>
      </c>
      <c r="C638" s="1" t="s">
        <v>1944</v>
      </c>
      <c r="D638" s="1" t="str">
        <f>CONCATENATE("762-2012-EMV",CHAR(10),"2012/S 002-0012296 od 18.04.2012.")</f>
        <v>762-2012-EMV
2012/S 002-0012296 od 18.04.2012.</v>
      </c>
      <c r="E638" s="1" t="s">
        <v>15</v>
      </c>
      <c r="F638" s="1" t="str">
        <f>"579.222,24"</f>
        <v>579.222,24</v>
      </c>
      <c r="G638" s="1" t="str">
        <f>CONCATENATE("12.12.2012.",CHAR(10),"6 mjeseci, računajući od dana uvođenja u posao")</f>
        <v>12.12.2012.
6 mjeseci, računajući od dana uvođenja u posao</v>
      </c>
      <c r="H638" s="1" t="str">
        <f>CONCATENATE("GRADNJAPROJEKT- ZAGREB D.O.O., ZAGREB",CHAR(10),"LJEVAONICA UMJETNINA ALU D.O.O., ZAGREB")</f>
        <v>GRADNJAPROJEKT- ZAGREB D.O.O., ZAGREB
LJEVAONICA UMJETNINA ALU D.O.O., ZAGREB</v>
      </c>
      <c r="I638" s="1" t="s">
        <v>82</v>
      </c>
      <c r="J638" s="1" t="str">
        <f>SUBSTITUTE(SUBSTITUTE(SUBSTITUTE("724,009.27",".","-"),",","."),"-",",")</f>
        <v>724.009,27</v>
      </c>
      <c r="K638" s="2"/>
    </row>
    <row r="639" spans="1:11" ht="47.25" x14ac:dyDescent="0.25">
      <c r="A639" s="1" t="str">
        <f>"612/2012"</f>
        <v>612/2012</v>
      </c>
      <c r="B639" s="1" t="s">
        <v>14</v>
      </c>
      <c r="C639" s="1" t="s">
        <v>1945</v>
      </c>
      <c r="D639" s="1" t="str">
        <f>CONCATENATE("2851-2012-EBV",CHAR(10),"2012/S 015-0083509 od 23.11.2012.")</f>
        <v>2851-2012-EBV
2012/S 015-0083509 od 23.11.2012.</v>
      </c>
      <c r="E639" s="1" t="s">
        <v>40</v>
      </c>
      <c r="F639" s="1" t="str">
        <f>"45.360,00"</f>
        <v>45.360,00</v>
      </c>
      <c r="G639" s="1" t="str">
        <f>CONCATENATE("14.12.2012.",CHAR(10),"u roku od 12 mjeseci od dana obostranog potpisa Ugovora")</f>
        <v>14.12.2012.
u roku od 12 mjeseci od dana obostranog potpisa Ugovora</v>
      </c>
      <c r="H639" s="1" t="str">
        <f>CONCATENATE("POLIKLINIKA ZA REHABILITACIJU SLUŠANJA I GOVORA SUVAG, ZAGREB")</f>
        <v>POLIKLINIKA ZA REHABILITACIJU SLUŠANJA I GOVORA SUVAG, ZAGREB</v>
      </c>
      <c r="I639" s="1" t="s">
        <v>225</v>
      </c>
      <c r="J639" s="1" t="str">
        <f>SUBSTITUTE(SUBSTITUTE(SUBSTITUTE("45,360.00",".","-"),",","."),"-",",")</f>
        <v>45.360,00</v>
      </c>
      <c r="K639" s="2"/>
    </row>
    <row r="640" spans="1:11" ht="47.25" x14ac:dyDescent="0.25">
      <c r="A640" s="1" t="str">
        <f>"613/2012"</f>
        <v>613/2012</v>
      </c>
      <c r="B640" s="1" t="s">
        <v>14</v>
      </c>
      <c r="C640" s="1" t="s">
        <v>1946</v>
      </c>
      <c r="D640" s="1" t="str">
        <f>CONCATENATE("2048-2012-EMV",CHAR(10),"2012/S 002-0053583 od 24.08.2012.")</f>
        <v>2048-2012-EMV
2012/S 002-0053583 od 24.08.2012.</v>
      </c>
      <c r="E640" s="1" t="s">
        <v>15</v>
      </c>
      <c r="F640" s="1" t="str">
        <f>"300.000,00"</f>
        <v>300.000,00</v>
      </c>
      <c r="G640" s="1" t="str">
        <f>CONCATENATE("17.12.2012.",CHAR(10),"u roku 30 dana od dana obostranog potpisa Ugovora")</f>
        <v>17.12.2012.
u roku 30 dana od dana obostranog potpisa Ugovora</v>
      </c>
      <c r="H640" s="1" t="str">
        <f>CONCATENATE("STUDIO HRG D.O.O., ZAGREB")</f>
        <v>STUDIO HRG D.O.O., ZAGREB</v>
      </c>
      <c r="I640" s="2"/>
      <c r="J640" s="1"/>
      <c r="K640" s="2"/>
    </row>
    <row r="641" spans="1:11" ht="63" x14ac:dyDescent="0.25">
      <c r="A641" s="1" t="str">
        <f>"614/2012"</f>
        <v>614/2012</v>
      </c>
      <c r="B641" s="1" t="s">
        <v>26</v>
      </c>
      <c r="C641" s="1" t="s">
        <v>1947</v>
      </c>
      <c r="D641" s="1" t="str">
        <f>"EV-153-020/2011"</f>
        <v>EV-153-020/2011</v>
      </c>
      <c r="E641" s="1" t="s">
        <v>15</v>
      </c>
      <c r="F641" s="1" t="str">
        <f>"2.429.250,60"</f>
        <v>2.429.250,60</v>
      </c>
      <c r="G641" s="1" t="str">
        <f>CONCATENATE("25.11.2012.",CHAR(10),"u roku od 30 dana od dana potpisivanja Ugovora, sukcesivno")</f>
        <v>25.11.2012.
u roku od 30 dana od dana potpisivanja Ugovora, sukcesivno</v>
      </c>
      <c r="H641" s="1" t="str">
        <f>CONCATENATE("METRONET TELEKOMUNIKACIJE D.D., ZAGREB")</f>
        <v>METRONET TELEKOMUNIKACIJE D.D., ZAGREB</v>
      </c>
      <c r="I641" s="1" t="s">
        <v>302</v>
      </c>
      <c r="J641" s="1" t="str">
        <f>SUBSTITUTE(SUBSTITUTE(SUBSTITUTE("2,724,209.59",".","-"),",","."),"-",",")</f>
        <v>2.724.209,59</v>
      </c>
      <c r="K641" s="2"/>
    </row>
    <row r="642" spans="1:11" ht="78.75" x14ac:dyDescent="0.25">
      <c r="A642" s="1" t="str">
        <f>"615/2012"</f>
        <v>615/2012</v>
      </c>
      <c r="B642" s="1" t="s">
        <v>136</v>
      </c>
      <c r="C642" s="1" t="s">
        <v>1948</v>
      </c>
      <c r="D642" s="1" t="str">
        <f>CONCATENATE("411-2012-EVV",CHAR(10),"2012/S 002-0051298 od 16.08.2012.")</f>
        <v>411-2012-EVV
2012/S 002-0051298 od 16.08.2012.</v>
      </c>
      <c r="E642" s="1" t="s">
        <v>97</v>
      </c>
      <c r="F642" s="1" t="str">
        <f>"1.273.200,00"</f>
        <v>1.273.200,00</v>
      </c>
      <c r="G642" s="1" t="str">
        <f>CONCATENATE("18.12.2012.",CHAR(10),"2 godine")</f>
        <v>18.12.2012.
2 godine</v>
      </c>
      <c r="H642" s="1" t="str">
        <f>CONCATENATE("KEMIS-TERMOCLEAN D.O.O., ZAGREB")</f>
        <v>KEMIS-TERMOCLEAN D.O.O., ZAGREB</v>
      </c>
      <c r="I642" s="2"/>
      <c r="J642" s="1"/>
      <c r="K642" s="2"/>
    </row>
    <row r="643" spans="1:11" ht="47.25" x14ac:dyDescent="0.25">
      <c r="A643" s="1" t="str">
        <f>"616/2012"</f>
        <v>616/2012</v>
      </c>
      <c r="B643" s="1" t="s">
        <v>14</v>
      </c>
      <c r="C643" s="1" t="s">
        <v>1949</v>
      </c>
      <c r="D643" s="1" t="str">
        <f>CONCATENATE("2509-2012-EMV",CHAR(10),"2012/S 015-0083450 od 23.11.2012.")</f>
        <v>2509-2012-EMV
2012/S 015-0083450 od 23.11.2012.</v>
      </c>
      <c r="E643" s="1" t="s">
        <v>12</v>
      </c>
      <c r="F643" s="1" t="str">
        <f>"383.876,65"</f>
        <v>383.876,65</v>
      </c>
      <c r="G643" s="1" t="str">
        <f>CONCATENATE("18.12.2012.",CHAR(10),"21 dan. računajući od dana uvođenja u posao")</f>
        <v>18.12.2012.
21 dan. računajući od dana uvođenja u posao</v>
      </c>
      <c r="H643" s="1" t="str">
        <f>CONCATENATE("HEP-OPERATOR DISTRIBUCIJSKOG SUSTAVA D.O.O., ZAGREB")</f>
        <v>HEP-OPERATOR DISTRIBUCIJSKOG SUSTAVA D.O.O., ZAGREB</v>
      </c>
      <c r="I643" s="2"/>
      <c r="J643" s="1"/>
      <c r="K643" s="2"/>
    </row>
    <row r="644" spans="1:11" ht="63" x14ac:dyDescent="0.25">
      <c r="A644" s="1" t="str">
        <f>"617/2012"</f>
        <v>617/2012</v>
      </c>
      <c r="B644" s="1" t="s">
        <v>14</v>
      </c>
      <c r="C644" s="1" t="s">
        <v>1950</v>
      </c>
      <c r="D644" s="1" t="str">
        <f>CONCATENATE("779-2012-EMV",CHAR(10),"2012/S 002-0044767 od 26.07.2012.")</f>
        <v>779-2012-EMV
2012/S 002-0044767 od 26.07.2012.</v>
      </c>
      <c r="E644" s="1" t="s">
        <v>15</v>
      </c>
      <c r="F644" s="1" t="str">
        <f>"1.268.156,00"</f>
        <v>1.268.156,00</v>
      </c>
      <c r="G644" s="1" t="str">
        <f>CONCATENATE("18.12.2012.",CHAR(10),"sukcesivno po obostranom potpisu ugovora, do konzumacije ugovora")</f>
        <v>18.12.2012.
sukcesivno po obostranom potpisu ugovora, do konzumacije ugovora</v>
      </c>
      <c r="H644" s="1" t="str">
        <f>CONCATENATE("LIPAPROMET D.O.O., ZAGREB")</f>
        <v>LIPAPROMET D.O.O., ZAGREB</v>
      </c>
      <c r="I644" s="1" t="s">
        <v>60</v>
      </c>
      <c r="J644" s="1" t="str">
        <f>SUBSTITUTE(SUBSTITUTE(SUBSTITUTE("1,584,937.50",".","-"),",","."),"-",",")</f>
        <v>1.584.937,50</v>
      </c>
      <c r="K644" s="2"/>
    </row>
    <row r="645" spans="1:11" ht="47.25" x14ac:dyDescent="0.25">
      <c r="A645" s="1" t="str">
        <f>"618/2012"</f>
        <v>618/2012</v>
      </c>
      <c r="B645" s="1" t="s">
        <v>14</v>
      </c>
      <c r="C645" s="1" t="s">
        <v>1951</v>
      </c>
      <c r="D645" s="1" t="str">
        <f>CONCATENATE("849-2012-EMV",CHAR(10),"2012/S 002-0032983 od 20.06.2012.")</f>
        <v>849-2012-EMV
2012/S 002-0032983 od 20.06.2012.</v>
      </c>
      <c r="E645" s="1" t="s">
        <v>15</v>
      </c>
      <c r="F645" s="1" t="str">
        <f>"88.000,00"</f>
        <v>88.000,00</v>
      </c>
      <c r="G645" s="1" t="str">
        <f>CONCATENATE("18.12.2012.",CHAR(10),"90 dana, računajući  od dana obostranog potpisa Ugovora")</f>
        <v>18.12.2012.
90 dana, računajući  od dana obostranog potpisa Ugovora</v>
      </c>
      <c r="H645" s="1" t="str">
        <f>CONCATENATE("PROMETIS D.O.O., ZAGREB",CHAR(10),"GEODETSKI PROJEKTI I SUSTAVI D.O.O., ZAGREB")</f>
        <v>PROMETIS D.O.O., ZAGREB
GEODETSKI PROJEKTI I SUSTAVI D.O.O., ZAGREB</v>
      </c>
      <c r="I645" s="2"/>
      <c r="J645" s="1"/>
      <c r="K645" s="2"/>
    </row>
    <row r="646" spans="1:11" ht="63" x14ac:dyDescent="0.25">
      <c r="A646" s="1" t="str">
        <f>"619/2012"</f>
        <v>619/2012</v>
      </c>
      <c r="B646" s="1" t="s">
        <v>14</v>
      </c>
      <c r="C646" s="1" t="s">
        <v>1952</v>
      </c>
      <c r="D646" s="1" t="str">
        <f>CONCATENATE("2041-2012-EMV",CHAR(10),"2012/S 015-0081118 od 16.11.2012.")</f>
        <v>2041-2012-EMV
2012/S 015-0081118 od 16.11.2012.</v>
      </c>
      <c r="E646" s="1" t="s">
        <v>12</v>
      </c>
      <c r="F646" s="1" t="str">
        <f>"519.692,76"</f>
        <v>519.692,76</v>
      </c>
      <c r="G646" s="1" t="str">
        <f>CONCATENATE("18.12.2012.",CHAR(10),"15 dana, računajući od dana uvođenja u posao")</f>
        <v>18.12.2012.
15 dana, računajući od dana uvođenja u posao</v>
      </c>
      <c r="H646" s="1" t="str">
        <f>CONCATENATE("HEP-OPERATOR DISTRIBUCIJSKOG SUSTAVA D.O.O., ZAGREB")</f>
        <v>HEP-OPERATOR DISTRIBUCIJSKOG SUSTAVA D.O.O., ZAGREB</v>
      </c>
      <c r="I646" s="1" t="s">
        <v>154</v>
      </c>
      <c r="J646" s="1" t="str">
        <f>SUBSTITUTE(SUBSTITUTE(SUBSTITUTE("649,519.50",".","-"),",","."),"-",",")</f>
        <v>649.519,50</v>
      </c>
      <c r="K646" s="2"/>
    </row>
    <row r="647" spans="1:11" ht="63" x14ac:dyDescent="0.25">
      <c r="A647" s="1" t="str">
        <f>"620/2012"</f>
        <v>620/2012</v>
      </c>
      <c r="B647" s="1" t="s">
        <v>14</v>
      </c>
      <c r="C647" s="1" t="s">
        <v>1953</v>
      </c>
      <c r="D647" s="1" t="str">
        <f>CONCATENATE("EV-463-012/2010",CHAR(10),"N-02-V-101890-190111 od 20.01.2011.")</f>
        <v>EV-463-012/2010
N-02-V-101890-190111 od 20.01.2011.</v>
      </c>
      <c r="E647" s="1" t="s">
        <v>15</v>
      </c>
      <c r="F647" s="1" t="str">
        <f>"710.081,60"</f>
        <v>710.081,60</v>
      </c>
      <c r="G647" s="1" t="str">
        <f>CONCATENATE("18.12.2012.",CHAR(10),"45 dana, računajući od dana uvođenja u posao")</f>
        <v>18.12.2012.
45 dana, računajući od dana uvođenja u posao</v>
      </c>
      <c r="H647" s="1" t="str">
        <f>CONCATENATE("LIDL HRVATSKA D.O.O., VELIKA GORICA",CHAR(10),"PRIGORAC-GRAĐENJE D.O.O., SESVETE")</f>
        <v>LIDL HRVATSKA D.O.O., VELIKA GORICA
PRIGORAC-GRAĐENJE D.O.O., SESVETE</v>
      </c>
      <c r="I647" s="2"/>
      <c r="J647" s="1"/>
      <c r="K647" s="2"/>
    </row>
    <row r="648" spans="1:11" ht="63" x14ac:dyDescent="0.25">
      <c r="A648" s="1" t="str">
        <f>"A-27/2012"</f>
        <v>A-27/2012</v>
      </c>
      <c r="B648" s="1" t="s">
        <v>11</v>
      </c>
      <c r="C648" s="1" t="s">
        <v>1954</v>
      </c>
      <c r="D648" s="1" t="str">
        <f>"2695-2012-EMV"</f>
        <v>2695-2012-EMV</v>
      </c>
      <c r="E648" s="2"/>
      <c r="F648" s="1" t="str">
        <f>"0,00"</f>
        <v>0,00</v>
      </c>
      <c r="G648" s="1" t="str">
        <f>CONCATENATE("19.12.2012.",CHAR(10),"u roku (tijekom)  godien dana od dana obostranog potpisa osnovnog ugovora")</f>
        <v>19.12.2012.
u roku (tijekom)  godien dana od dana obostranog potpisa osnovnog ugovora</v>
      </c>
      <c r="H648" s="1" t="str">
        <f>CONCATENATE("IVNE GRAĐEVINA D.O.O., ZAGREB")</f>
        <v>IVNE GRAĐEVINA D.O.O., ZAGREB</v>
      </c>
      <c r="I648" s="2"/>
      <c r="J648" s="1"/>
      <c r="K648" s="2"/>
    </row>
    <row r="649" spans="1:11" ht="47.25" x14ac:dyDescent="0.25">
      <c r="A649" s="1" t="str">
        <f>"621/2012"</f>
        <v>621/2012</v>
      </c>
      <c r="B649" s="1" t="s">
        <v>14</v>
      </c>
      <c r="C649" s="1" t="s">
        <v>1955</v>
      </c>
      <c r="D649" s="1" t="str">
        <f>CONCATENATE("819-2012-EMV",CHAR(10),"2012/S 002-0046501 od 31.07.2012.")</f>
        <v>819-2012-EMV
2012/S 002-0046501 od 31.07.2012.</v>
      </c>
      <c r="E649" s="1" t="s">
        <v>15</v>
      </c>
      <c r="F649" s="1" t="str">
        <f>"1.257.285,35"</f>
        <v>1.257.285,35</v>
      </c>
      <c r="G649" s="1" t="str">
        <f>CONCATENATE("19.12.2012.",CHAR(10),"90 dana, računajući od dana uvođenja u posao")</f>
        <v>19.12.2012.
90 dana, računajući od dana uvođenja u posao</v>
      </c>
      <c r="H649" s="1" t="str">
        <f>CONCATENATE("P.G.P. D.O.O., ZAGREB",CHAR(10),"MEIXNER D.O.O., ZAGREB")</f>
        <v>P.G.P. D.O.O., ZAGREB
MEIXNER D.O.O., ZAGREB</v>
      </c>
      <c r="I649" s="1" t="s">
        <v>192</v>
      </c>
      <c r="J649" s="1" t="str">
        <f>SUBSTITUTE(SUBSTITUTE(SUBSTITUTE("1,548,070.21",".","-"),",","."),"-",",")</f>
        <v>1.548.070,21</v>
      </c>
      <c r="K649" s="2"/>
    </row>
    <row r="650" spans="1:11" ht="47.25" x14ac:dyDescent="0.25">
      <c r="A650" s="1" t="str">
        <f>"A-28/2012"</f>
        <v>A-28/2012</v>
      </c>
      <c r="B650" s="1" t="s">
        <v>11</v>
      </c>
      <c r="C650" s="1" t="s">
        <v>1956</v>
      </c>
      <c r="D650" s="1" t="str">
        <f>"442-2012-EMV"</f>
        <v>442-2012-EMV</v>
      </c>
      <c r="E650" s="2"/>
      <c r="F650" s="1" t="str">
        <f>"0,00"</f>
        <v>0,00</v>
      </c>
      <c r="G650" s="1" t="str">
        <f>CONCATENATE("20.12.2012.",CHAR(10),"u roku od 85 dana, računajući od dana uvođenja u posao")</f>
        <v>20.12.2012.
u roku od 85 dana, računajući od dana uvođenja u posao</v>
      </c>
      <c r="H650" s="1" t="str">
        <f>CONCATENATE("GEORAD D.O.O., ZAGREB")</f>
        <v>GEORAD D.O.O., ZAGREB</v>
      </c>
      <c r="I650" s="2"/>
      <c r="J650" s="1"/>
      <c r="K650" s="2"/>
    </row>
    <row r="651" spans="1:11" ht="63" x14ac:dyDescent="0.25">
      <c r="A651" s="1" t="str">
        <f>"622/2012"</f>
        <v>622/2012</v>
      </c>
      <c r="B651" s="1" t="s">
        <v>136</v>
      </c>
      <c r="C651" s="1" t="s">
        <v>1957</v>
      </c>
      <c r="D651" s="1" t="str">
        <f>CONCATENATE("965-2012-EVV",CHAR(10),"2012/S 002-0051924 od 17.08.2012.")</f>
        <v>965-2012-EVV
2012/S 002-0051924 od 17.08.2012.</v>
      </c>
      <c r="E651" s="1" t="s">
        <v>139</v>
      </c>
      <c r="F651" s="1" t="str">
        <f>"1.654.650,00"</f>
        <v>1.654.650,00</v>
      </c>
      <c r="G651" s="1" t="str">
        <f>CONCATENATE("21.12.2012.",CHAR(10),"4 godine")</f>
        <v>21.12.2012.
4 godine</v>
      </c>
      <c r="H651" s="1" t="str">
        <f>CONCATENATE("HEMCO D.O.O., ĐAKOVO")</f>
        <v>HEMCO D.O.O., ĐAKOVO</v>
      </c>
      <c r="I651" s="2"/>
      <c r="J651" s="1"/>
      <c r="K651" s="2"/>
    </row>
    <row r="652" spans="1:11" ht="47.25" x14ac:dyDescent="0.25">
      <c r="A652" s="1" t="str">
        <f>"623/2012"</f>
        <v>623/2012</v>
      </c>
      <c r="B652" s="1" t="s">
        <v>14</v>
      </c>
      <c r="C652" s="1" t="s">
        <v>1958</v>
      </c>
      <c r="D652" s="1" t="str">
        <f>"488-2012-EMV"</f>
        <v>488-2012-EMV</v>
      </c>
      <c r="E652" s="1" t="s">
        <v>40</v>
      </c>
      <c r="F652" s="1" t="str">
        <f>"673.296,00"</f>
        <v>673.296,00</v>
      </c>
      <c r="G652" s="1" t="str">
        <f>CONCATENATE("21.12.2012.",CHAR(10),"12 mjeseci")</f>
        <v>21.12.2012.
12 mjeseci</v>
      </c>
      <c r="H652" s="1" t="str">
        <f>CONCATENATE("PUČKO OTVORENO UČILIŠTE ZAGREB, ZAGREB")</f>
        <v>PUČKO OTVORENO UČILIŠTE ZAGREB, ZAGREB</v>
      </c>
      <c r="I652" s="1" t="s">
        <v>303</v>
      </c>
      <c r="J652" s="1" t="str">
        <f>SUBSTITUTE(SUBSTITUTE(SUBSTITUTE("649,021.00",".","-"),",","."),"-",",")</f>
        <v>649.021,00</v>
      </c>
      <c r="K652" s="2"/>
    </row>
    <row r="653" spans="1:11" ht="63" x14ac:dyDescent="0.25">
      <c r="A653" s="1" t="str">
        <f>"624/2012"</f>
        <v>624/2012</v>
      </c>
      <c r="B653" s="1" t="s">
        <v>14</v>
      </c>
      <c r="C653" s="1" t="s">
        <v>1959</v>
      </c>
      <c r="D653" s="1" t="str">
        <f>CONCATENATE("752-2012-EMV",CHAR(10),"2012/S 002-0020719 od 17.05.2012.")</f>
        <v>752-2012-EMV
2012/S 002-0020719 od 17.05.2012.</v>
      </c>
      <c r="E653" s="1" t="s">
        <v>15</v>
      </c>
      <c r="F653" s="1" t="str">
        <f>"416.749,50"</f>
        <v>416.749,50</v>
      </c>
      <c r="G653" s="1" t="str">
        <f>CONCATENATE("24.12.2012.",CHAR(10),"12 mjeseci od dana uvođenja u posao")</f>
        <v>24.12.2012.
12 mjeseci od dana uvođenja u posao</v>
      </c>
      <c r="H653" s="1" t="str">
        <f>CONCATENATE("HM-PATRIA D.O.O., ZAGREB",CHAR(10),"ATIKA OBRT ZA RESTAURIRANJE UMJETNINA I USLUŽNE DJELATNOSTI, ZAGREB")</f>
        <v>HM-PATRIA D.O.O., ZAGREB
ATIKA OBRT ZA RESTAURIRANJE UMJETNINA I USLUŽNE DJELATNOSTI, ZAGREB</v>
      </c>
      <c r="I653" s="1" t="s">
        <v>127</v>
      </c>
      <c r="J653" s="1" t="str">
        <f>SUBSTITUTE(SUBSTITUTE(SUBSTITUTE("520,500.89",".","-"),",","."),"-",",")</f>
        <v>520.500,89</v>
      </c>
      <c r="K653" s="2"/>
    </row>
    <row r="654" spans="1:11" ht="78.75" x14ac:dyDescent="0.25">
      <c r="A654" s="1" t="str">
        <f>"625/2012"</f>
        <v>625/2012</v>
      </c>
      <c r="B654" s="1" t="s">
        <v>26</v>
      </c>
      <c r="C654" s="1" t="s">
        <v>304</v>
      </c>
      <c r="D654" s="1" t="str">
        <f>"135-2012-EVV"</f>
        <v>135-2012-EVV</v>
      </c>
      <c r="E654" s="1" t="s">
        <v>97</v>
      </c>
      <c r="F654" s="1" t="str">
        <f>"827.594,14"</f>
        <v>827.594,14</v>
      </c>
      <c r="G654" s="1" t="str">
        <f>CONCATENATE("24.12.2012.",CHAR(10),"12 mjeseci od dana obostranog potpisa ugovora")</f>
        <v>24.12.2012.
12 mjeseci od dana obostranog potpisa ugovora</v>
      </c>
      <c r="H654" s="1" t="str">
        <f>CONCATENATE("RETEL D.O.O., ZAGREB")</f>
        <v>RETEL D.O.O., ZAGREB</v>
      </c>
      <c r="I654" s="1" t="s">
        <v>305</v>
      </c>
      <c r="J654" s="1" t="str">
        <f>SUBSTITUTE(SUBSTITUTE(SUBSTITUTE("1,014,749.95",".","-"),",","."),"-",",")</f>
        <v>1.014.749,95</v>
      </c>
      <c r="K654" s="2"/>
    </row>
    <row r="655" spans="1:11" ht="63" x14ac:dyDescent="0.25">
      <c r="A655" s="1" t="str">
        <f>"A-29/2012"</f>
        <v>A-29/2012</v>
      </c>
      <c r="B655" s="1" t="s">
        <v>11</v>
      </c>
      <c r="C655" s="1" t="s">
        <v>1960</v>
      </c>
      <c r="D655" s="1" t="str">
        <f>"1953-2012-EMV"</f>
        <v>1953-2012-EMV</v>
      </c>
      <c r="E655" s="2"/>
      <c r="F655" s="1" t="str">
        <f>"0,00"</f>
        <v>0,00</v>
      </c>
      <c r="G655" s="1" t="str">
        <f>CONCATENATE("27.12.2012.",CHAR(10),"do 31.01.2013.")</f>
        <v>27.12.2012.
do 31.01.2013.</v>
      </c>
      <c r="H655" s="1" t="str">
        <f>CONCATENATE("FORSET D.O.O., ZAGREB")</f>
        <v>FORSET D.O.O., ZAGREB</v>
      </c>
      <c r="I655" s="2"/>
      <c r="J655" s="1"/>
      <c r="K655" s="2"/>
    </row>
    <row r="656" spans="1:11" ht="47.25" x14ac:dyDescent="0.25">
      <c r="A656" s="1" t="str">
        <f>"626/2012"</f>
        <v>626/2012</v>
      </c>
      <c r="B656" s="1" t="s">
        <v>14</v>
      </c>
      <c r="C656" s="1" t="s">
        <v>1961</v>
      </c>
      <c r="D656" s="1" t="str">
        <f>CONCATENATE("1911-2012-EMV",CHAR(10),"2012/S 002-0070250 od 15.10.2012.")</f>
        <v>1911-2012-EMV
2012/S 002-0070250 od 15.10.2012.</v>
      </c>
      <c r="E656" s="1" t="s">
        <v>15</v>
      </c>
      <c r="F656" s="1" t="str">
        <f>"119.762,00"</f>
        <v>119.762,00</v>
      </c>
      <c r="G656" s="1" t="str">
        <f>CONCATENATE("28.12.2012.",CHAR(10),"u roku od 60 dana, računajući od dana uvođenja u posao")</f>
        <v>28.12.2012.
u roku od 60 dana, računajući od dana uvođenja u posao</v>
      </c>
      <c r="H656" s="1" t="str">
        <f>CONCATENATE("TEMEX D.O.O., ZAGREB",CHAR(10),"GEODATA D.O.O., ZAGREB",CHAR(10),"CSS D.O.O., ZAGREB")</f>
        <v>TEMEX D.O.O., ZAGREB
GEODATA D.O.O., ZAGREB
CSS D.O.O., ZAGREB</v>
      </c>
      <c r="I656" s="1" t="s">
        <v>232</v>
      </c>
      <c r="J656" s="1" t="str">
        <f>SUBSTITUTE(SUBSTITUTE(SUBSTITUTE("149,702.50",".","-"),",","."),"-",",")</f>
        <v>149.702,50</v>
      </c>
      <c r="K656" s="2"/>
    </row>
    <row r="657" spans="1:11" ht="31.5" x14ac:dyDescent="0.25">
      <c r="A657" s="1" t="str">
        <f>"A-30/2012"</f>
        <v>A-30/2012</v>
      </c>
      <c r="B657" s="1" t="s">
        <v>11</v>
      </c>
      <c r="C657" s="1" t="s">
        <v>306</v>
      </c>
      <c r="D657" s="1" t="str">
        <f>"414-2012-EMV"</f>
        <v>414-2012-EMV</v>
      </c>
      <c r="E657" s="2"/>
      <c r="F657" s="1" t="str">
        <f>"0,00"</f>
        <v>0,00</v>
      </c>
      <c r="G657" s="1" t="str">
        <f>CONCATENATE("28.12.2012.",CHAR(10),"do 31.siječnja 2013.")</f>
        <v>28.12.2012.
do 31.siječnja 2013.</v>
      </c>
      <c r="H657" s="1" t="str">
        <f>CONCATENATE("HEDOM D.O.O., ZAGREB",CHAR(10),"ITS-CONSULTING D.O.O., ZAGREB")</f>
        <v>HEDOM D.O.O., ZAGREB
ITS-CONSULTING D.O.O., ZAGREB</v>
      </c>
      <c r="I657" s="2"/>
      <c r="J657" s="1"/>
      <c r="K657" s="2"/>
    </row>
    <row r="658" spans="1:11" ht="78.75" x14ac:dyDescent="0.25">
      <c r="A658" s="1" t="str">
        <f>"627/2012"</f>
        <v>627/2012</v>
      </c>
      <c r="B658" s="1" t="s">
        <v>26</v>
      </c>
      <c r="C658" s="1" t="s">
        <v>307</v>
      </c>
      <c r="D658" s="1" t="str">
        <f>"EV-419/09"</f>
        <v>EV-419/09</v>
      </c>
      <c r="E658" s="1" t="s">
        <v>97</v>
      </c>
      <c r="F658" s="1" t="str">
        <f>"53.661,30"</f>
        <v>53.661,30</v>
      </c>
      <c r="G658" s="1" t="str">
        <f>CONCATENATE("28.12.2012.",CHAR(10),"15.01.2013")</f>
        <v>28.12.2012.
15.01.2013</v>
      </c>
      <c r="H658" s="1" t="str">
        <f>CONCATENATE("BIRODOM D.O.O., LUČKO",CHAR(10),"TIP-ZAGREB D.O.O., ZAGREB",CHAR(10),"TIMI D.O.O., ZAGREB",CHAR(10),"ZVIBOR D.O.O., ZAGREB")</f>
        <v>BIRODOM D.O.O., LUČKO
TIP-ZAGREB D.O.O., ZAGREB
TIMI D.O.O., ZAGREB
ZVIBOR D.O.O., ZAGREB</v>
      </c>
      <c r="I658" s="1" t="s">
        <v>308</v>
      </c>
      <c r="J658" s="1" t="str">
        <f>SUBSTITUTE(SUBSTITUTE(SUBSTITUTE("67,076.63",".","-"),",","."),"-",",")</f>
        <v>67.076,63</v>
      </c>
      <c r="K658" s="2"/>
    </row>
    <row r="659" spans="1:11" ht="31.5" x14ac:dyDescent="0.25">
      <c r="A659" s="1" t="str">
        <f>"A-31/2012"</f>
        <v>A-31/2012</v>
      </c>
      <c r="B659" s="1" t="s">
        <v>11</v>
      </c>
      <c r="C659" s="1" t="s">
        <v>1962</v>
      </c>
      <c r="D659" s="2"/>
      <c r="E659" s="2"/>
      <c r="F659" s="1" t="str">
        <f>"0,00"</f>
        <v>0,00</v>
      </c>
      <c r="G659" s="1" t="str">
        <f>CONCATENATE("28.12.2012.",CHAR(10),"do 15. veljačke 2013.")</f>
        <v>28.12.2012.
do 15. veljačke 2013.</v>
      </c>
      <c r="H659" s="1" t="str">
        <f>CONCATENATE("LUKOIL CROATIA D.O.O., ZAGREB")</f>
        <v>LUKOIL CROATIA D.O.O., ZAGREB</v>
      </c>
      <c r="I659" s="2"/>
      <c r="J659" s="1"/>
      <c r="K659" s="2"/>
    </row>
    <row r="660" spans="1:11" ht="47.25" x14ac:dyDescent="0.25">
      <c r="A660" s="1" t="str">
        <f>"629/2012"</f>
        <v>629/2012</v>
      </c>
      <c r="B660" s="1" t="s">
        <v>14</v>
      </c>
      <c r="C660" s="1" t="s">
        <v>1963</v>
      </c>
      <c r="D660" s="1" t="str">
        <f>CONCATENATE("742-2012-EMV",CHAR(10),"2012/S 002-0014748 od 27.04.2012.")</f>
        <v>742-2012-EMV
2012/S 002-0014748 od 27.04.2012.</v>
      </c>
      <c r="E660" s="1" t="s">
        <v>15</v>
      </c>
      <c r="F660" s="1" t="str">
        <f>"381.014,15"</f>
        <v>381.014,15</v>
      </c>
      <c r="G660" s="1" t="str">
        <f>CONCATENATE("31.12.2012.",CHAR(10),"6 mjeseci, računajući od dana uvođenja u posao")</f>
        <v>31.12.2012.
6 mjeseci, računajući od dana uvođenja u posao</v>
      </c>
      <c r="H660" s="1" t="str">
        <f>CONCATENATE("TA-GRAD D.O.O., ZAGREB",CHAR(10),"AKADEMSKI KIPAR IVAN BRISKI, ZAGREB")</f>
        <v>TA-GRAD D.O.O., ZAGREB
AKADEMSKI KIPAR IVAN BRISKI, ZAGREB</v>
      </c>
      <c r="I660" s="1" t="s">
        <v>309</v>
      </c>
      <c r="J660" s="1" t="str">
        <f>SUBSTITUTE(SUBSTITUTE(SUBSTITUTE("476,257.07",".","-"),",","."),"-",",")</f>
        <v>476.257,07</v>
      </c>
      <c r="K660" s="2"/>
    </row>
    <row r="661" spans="1:11" ht="63" x14ac:dyDescent="0.25">
      <c r="A661" s="1" t="str">
        <f>"A-32/2012"</f>
        <v>A-32/2012</v>
      </c>
      <c r="B661" s="1" t="s">
        <v>11</v>
      </c>
      <c r="C661" s="1" t="s">
        <v>1964</v>
      </c>
      <c r="D661" s="1" t="str">
        <f>"EV-738-012/2011"</f>
        <v>EV-738-012/2011</v>
      </c>
      <c r="E661" s="2"/>
      <c r="F661" s="1" t="str">
        <f>"0,00"</f>
        <v>0,00</v>
      </c>
      <c r="G661" s="1" t="str">
        <f>CONCATENATE("31.12.2012.",CHAR(10),"do 01.03.2013.")</f>
        <v>31.12.2012.
do 01.03.2013.</v>
      </c>
      <c r="H661" s="1" t="str">
        <f>CONCATENATE("ZAGREBAČKI HOLDING D.O.O., PODRUŽNICA ZRINJEVAC, ZAGREB")</f>
        <v>ZAGREBAČKI HOLDING D.O.O., PODRUŽNICA ZRINJEVAC, ZAGREB</v>
      </c>
      <c r="I661" s="2"/>
      <c r="J661" s="1"/>
      <c r="K661" s="2"/>
    </row>
    <row r="662" spans="1:11" ht="47.25" x14ac:dyDescent="0.25">
      <c r="A662" s="1" t="str">
        <f>"631/2012"</f>
        <v>631/2012</v>
      </c>
      <c r="B662" s="1" t="s">
        <v>14</v>
      </c>
      <c r="C662" s="1" t="s">
        <v>1965</v>
      </c>
      <c r="D662" s="1" t="str">
        <f>CONCATENATE("2860-2012-EMV",CHAR(10),"2012/S 015-0088391 od 06.12.2012.")</f>
        <v>2860-2012-EMV
2012/S 015-0088391 od 06.12.2012.</v>
      </c>
      <c r="E662" s="1" t="s">
        <v>12</v>
      </c>
      <c r="F662" s="1" t="str">
        <f>"157.520,00"</f>
        <v>157.520,00</v>
      </c>
      <c r="G662" s="1" t="str">
        <f>CONCATENATE("31.12.2012.",CHAR(10),"30 dana, računajući od dana uvođenja u posao")</f>
        <v>31.12.2012.
30 dana, računajući od dana uvođenja u posao</v>
      </c>
      <c r="H662" s="1" t="str">
        <f>CONCATENATE("MONTEL D.O.O., ZAGREB")</f>
        <v>MONTEL D.O.O., ZAGREB</v>
      </c>
      <c r="I662" s="2"/>
      <c r="J662" s="1"/>
      <c r="K662" s="2"/>
    </row>
    <row r="663" spans="1:11" ht="63" x14ac:dyDescent="0.25">
      <c r="A663" s="1" t="str">
        <f>"632/2012"</f>
        <v>632/2012</v>
      </c>
      <c r="B663" s="1" t="s">
        <v>26</v>
      </c>
      <c r="C663" s="1" t="s">
        <v>310</v>
      </c>
      <c r="D663" s="1" t="str">
        <f>"965-2012-EVV"</f>
        <v>965-2012-EVV</v>
      </c>
      <c r="E663" s="1" t="s">
        <v>139</v>
      </c>
      <c r="F663" s="1" t="str">
        <f>"391.345,00"</f>
        <v>391.345,00</v>
      </c>
      <c r="G663" s="1" t="str">
        <f>CONCATENATE("31.12.2012.",CHAR(10),"30 dana")</f>
        <v>31.12.2012.
30 dana</v>
      </c>
      <c r="H663" s="1" t="str">
        <f>CONCATENATE("HEMCO D.O.O., ĐAKOVO")</f>
        <v>HEMCO D.O.O., ĐAKOVO</v>
      </c>
      <c r="I663" s="1" t="s">
        <v>311</v>
      </c>
      <c r="J663" s="1" t="str">
        <f>SUBSTITUTE(SUBSTITUTE(SUBSTITUTE("479,837.50",".","-"),",","."),"-",",")</f>
        <v>479.837,50</v>
      </c>
      <c r="K663" s="2"/>
    </row>
    <row r="664" spans="1:11" ht="47.25" x14ac:dyDescent="0.25">
      <c r="A664" s="1" t="str">
        <f>"A-33/2012"</f>
        <v>A-33/2012</v>
      </c>
      <c r="B664" s="1" t="s">
        <v>11</v>
      </c>
      <c r="C664" s="1" t="s">
        <v>1966</v>
      </c>
      <c r="D664" s="1" t="str">
        <f>"1903-2012-EMV"</f>
        <v>1903-2012-EMV</v>
      </c>
      <c r="E664" s="2"/>
      <c r="F664" s="1" t="str">
        <f>"0,00"</f>
        <v>0,00</v>
      </c>
      <c r="G664" s="1" t="str">
        <f>CONCATENATE("31.12.2012.",CHAR(10),"do 31.03.2013.")</f>
        <v>31.12.2012.
do 31.03.2013.</v>
      </c>
      <c r="H664" s="1" t="str">
        <f>CONCATENATE("TA-GRAD D.O.O., ZAGREB")</f>
        <v>TA-GRAD D.O.O., ZAGREB</v>
      </c>
      <c r="I664" s="2"/>
      <c r="J664" s="1"/>
      <c r="K664" s="2"/>
    </row>
    <row r="665" spans="1:11" ht="94.5" x14ac:dyDescent="0.25">
      <c r="A665" s="1" t="str">
        <f>"633/2012"</f>
        <v>633/2012</v>
      </c>
      <c r="B665" s="1" t="s">
        <v>14</v>
      </c>
      <c r="C665" s="1" t="s">
        <v>1967</v>
      </c>
      <c r="D665" s="1" t="str">
        <f>CONCATENATE("2498-2012-EMV",CHAR(10),"2012/S 002-0063028 od 24.09.2012.")</f>
        <v>2498-2012-EMV
2012/S 002-0063028 od 24.09.2012.</v>
      </c>
      <c r="E665" s="1" t="s">
        <v>15</v>
      </c>
      <c r="F665" s="1" t="str">
        <f>"91.800,00"</f>
        <v>91.800,00</v>
      </c>
      <c r="G665" s="1" t="str">
        <f>CONCATENATE("31.12.2012.",CHAR(10),"6 mjeseci od dana obostranog potpisa Ugovora")</f>
        <v>31.12.2012.
6 mjeseci od dana obostranog potpisa Ugovora</v>
      </c>
      <c r="H665" s="1" t="str">
        <f>CONCATENATE("KOPIMA D.O.O, ZAGREB",CHAR(10),"MGV D.O.O., ZAGREB",CHAR(10),"PROJEKTNI BIRO NAGLIĆ D.O.O., ZAGREB",CHAR(10),"AG PLANUM D.O.O., ZAGREB",CHAR(10),"FANOS D.O.O.,")</f>
        <v>KOPIMA D.O.O, ZAGREB
MGV D.O.O., ZAGREB
PROJEKTNI BIRO NAGLIĆ D.O.O., ZAGREB
AG PLANUM D.O.O., ZAGREB
FANOS D.O.O.,</v>
      </c>
      <c r="I665" s="1" t="s">
        <v>312</v>
      </c>
      <c r="J665" s="1" t="str">
        <f>SUBSTITUTE(SUBSTITUTE(SUBSTITUTE("114,705.01",".","-"),",","."),"-",",")</f>
        <v>114.705,01</v>
      </c>
      <c r="K665" s="2"/>
    </row>
    <row r="666" spans="1:11" ht="78.75" x14ac:dyDescent="0.25">
      <c r="A666" s="1" t="str">
        <f>"634/2012"</f>
        <v>634/2012</v>
      </c>
      <c r="B666" s="1" t="s">
        <v>14</v>
      </c>
      <c r="C666" s="1" t="s">
        <v>1968</v>
      </c>
      <c r="D666" s="1" t="str">
        <f>CONCATENATE("2500-2012-EMV",CHAR(10),"2012/S 002-0065497 od 01.10.2012.")</f>
        <v>2500-2012-EMV
2012/S 002-0065497 od 01.10.2012.</v>
      </c>
      <c r="E666" s="1" t="s">
        <v>15</v>
      </c>
      <c r="F666" s="1" t="str">
        <f>"98.200,00"</f>
        <v>98.200,00</v>
      </c>
      <c r="G666" s="1" t="str">
        <f>CONCATENATE("31.12.2012.",CHAR(10),"180 dana, računajući od dana obostranog potpisa Ugovora")</f>
        <v>31.12.2012.
180 dana, računajući od dana obostranog potpisa Ugovora</v>
      </c>
      <c r="H666" s="1" t="str">
        <f>CONCATENATE("KOPIMA D.O.O, ZAGREB",CHAR(10),"MGV D.O.O., ZAGREB",CHAR(10),"PROJEKTNI BIRO NAGLIĆ D.O.O., ZAGREB",CHAR(10),"AG PLANUM D.O.O., ZAGREB")</f>
        <v>KOPIMA D.O.O, ZAGREB
MGV D.O.O., ZAGREB
PROJEKTNI BIRO NAGLIĆ D.O.O., ZAGREB
AG PLANUM D.O.O., ZAGREB</v>
      </c>
      <c r="I666" s="2"/>
      <c r="J666" s="1"/>
      <c r="K666" s="2"/>
    </row>
    <row r="667" spans="1:11" ht="47.25" x14ac:dyDescent="0.25">
      <c r="A667" s="1" t="str">
        <f>"635/2012"</f>
        <v>635/2012</v>
      </c>
      <c r="B667" s="1" t="s">
        <v>14</v>
      </c>
      <c r="C667" s="1" t="s">
        <v>1969</v>
      </c>
      <c r="D667" s="1" t="str">
        <f>CONCATENATE("2857-2012-EMV",CHAR(10),"2012/S 015-0090348 od 12.12.2012.")</f>
        <v>2857-2012-EMV
2012/S 015-0090348 od 12.12.2012.</v>
      </c>
      <c r="E667" s="1" t="s">
        <v>12</v>
      </c>
      <c r="F667" s="1" t="str">
        <f>"229.696,00"</f>
        <v>229.696,00</v>
      </c>
      <c r="G667" s="1" t="str">
        <f>CONCATENATE("31.12.2012.",CHAR(10),"tijekom 2012. godine")</f>
        <v>31.12.2012.
tijekom 2012. godine</v>
      </c>
      <c r="H667" s="1" t="str">
        <f>CONCATENATE("EKO-DERATIZACIJA D.O.O., ZAGREB",CHAR(10),"SANITACIJA D.D., ZAGREB")</f>
        <v>EKO-DERATIZACIJA D.O.O., ZAGREB
SANITACIJA D.D., ZAGREB</v>
      </c>
      <c r="I667" s="1" t="s">
        <v>78</v>
      </c>
      <c r="J667" s="1" t="str">
        <f>SUBSTITUTE(SUBSTITUTE(SUBSTITUTE("287,120.00",".","-"),",","."),"-",",")</f>
        <v>287.120,00</v>
      </c>
      <c r="K667" s="2"/>
    </row>
    <row r="668" spans="1:11" ht="78.75" x14ac:dyDescent="0.25">
      <c r="A668" s="1" t="str">
        <f>"636/2012"</f>
        <v>636/2012</v>
      </c>
      <c r="B668" s="1" t="s">
        <v>26</v>
      </c>
      <c r="C668" s="1" t="s">
        <v>313</v>
      </c>
      <c r="D668" s="1" t="str">
        <f>"EV-150-020/2011"</f>
        <v>EV-150-020/2011</v>
      </c>
      <c r="E668" s="1" t="s">
        <v>15</v>
      </c>
      <c r="F668" s="1" t="str">
        <f>"2.377.688,30"</f>
        <v>2.377.688,30</v>
      </c>
      <c r="G668" s="1" t="str">
        <f>CONCATENATE("28.10.2012.",CHAR(10),"30 dana po sklapanju ugovora, te izvr. suk. sukladno st. pot. tijekom 1god, rač. od dana skl. ug.")</f>
        <v>28.10.2012.
30 dana po sklapanju ugovora, te izvr. suk. sukladno st. pot. tijekom 1god, rač. od dana skl. ug.</v>
      </c>
      <c r="H668" s="1" t="str">
        <f>CONCATENATE("VIPNET D.O.O.,")</f>
        <v>VIPNET D.O.O.,</v>
      </c>
      <c r="I668" s="1" t="s">
        <v>203</v>
      </c>
      <c r="J668" s="1" t="str">
        <f>SUBSTITUTE(SUBSTITUTE(SUBSTITUTE("2,934,910.38",".","-"),",","."),"-",",")</f>
        <v>2.934.910,38</v>
      </c>
      <c r="K668" s="2"/>
    </row>
    <row r="669" spans="1:11" ht="78.75" x14ac:dyDescent="0.25">
      <c r="A669" s="1" t="str">
        <f>"1/2013"</f>
        <v>1/2013</v>
      </c>
      <c r="B669" s="1" t="s">
        <v>136</v>
      </c>
      <c r="C669" s="1" t="s">
        <v>1970</v>
      </c>
      <c r="D669" s="1" t="str">
        <f>CONCATENATE("131-2012-EVV",CHAR(10),"2012/S 002-0073208 od 24.10.2012.")</f>
        <v>131-2012-EVV
2012/S 002-0073208 od 24.10.2012.</v>
      </c>
      <c r="E669" s="1" t="s">
        <v>97</v>
      </c>
      <c r="F669" s="1" t="str">
        <f>"2.797.896,70"</f>
        <v>2.797.896,70</v>
      </c>
      <c r="G669" s="1" t="str">
        <f>CONCATENATE("04.01.2013.",CHAR(10),"2 godine")</f>
        <v>04.01.2013.
2 godine</v>
      </c>
      <c r="H669" s="1" t="str">
        <f>CONCATENATE("OGANJ D.O.O., ZAGREB")</f>
        <v>OGANJ D.O.O., ZAGREB</v>
      </c>
      <c r="I669" s="1" t="s">
        <v>314</v>
      </c>
      <c r="J669" s="1" t="str">
        <f>SUBSTITUTE(SUBSTITUTE(SUBSTITUTE("3,497,370.88",".","-"),",","."),"-",",")</f>
        <v>3.497.370,88</v>
      </c>
      <c r="K669" s="2"/>
    </row>
    <row r="670" spans="1:11" ht="47.25" x14ac:dyDescent="0.25">
      <c r="A670" s="1" t="str">
        <f>"2/2013"</f>
        <v>2/2013</v>
      </c>
      <c r="B670" s="1" t="s">
        <v>14</v>
      </c>
      <c r="C670" s="1" t="s">
        <v>876</v>
      </c>
      <c r="D670" s="1" t="str">
        <f>CONCATENATE("912-2012-EMV",CHAR(10),"2012/S 002-0064676 od 27.09.2012.")</f>
        <v>912-2012-EMV
2012/S 002-0064676 od 27.09.2012.</v>
      </c>
      <c r="E670" s="1" t="s">
        <v>15</v>
      </c>
      <c r="F670" s="1" t="str">
        <f>"380.850,00"</f>
        <v>380.850,00</v>
      </c>
      <c r="G670" s="1" t="str">
        <f>CONCATENATE("04.01.2013.",CHAR(10),"12 mjeseci")</f>
        <v>04.01.2013.
12 mjeseci</v>
      </c>
      <c r="H670" s="1" t="str">
        <f>CONCATENATE("GRADITELJ SVRATIŠTA D.O.O., ZAGREB")</f>
        <v>GRADITELJ SVRATIŠTA D.O.O., ZAGREB</v>
      </c>
      <c r="I670" s="1" t="s">
        <v>16</v>
      </c>
      <c r="J670" s="1" t="str">
        <f>SUBSTITUTE(SUBSTITUTE(SUBSTITUTE("475,825.00",".","-"),",","."),"-",",")</f>
        <v>475.825,00</v>
      </c>
      <c r="K670" s="2"/>
    </row>
    <row r="671" spans="1:11" ht="47.25" x14ac:dyDescent="0.25">
      <c r="A671" s="1" t="str">
        <f>"3/2013"</f>
        <v>3/2013</v>
      </c>
      <c r="B671" s="1" t="s">
        <v>14</v>
      </c>
      <c r="C671" s="1" t="s">
        <v>1971</v>
      </c>
      <c r="D671" s="1" t="str">
        <f>CONCATENATE("2846-2012-EMV",CHAR(10),"2012/S 002-0069586 od 12.10.2012.")</f>
        <v>2846-2012-EMV
2012/S 002-0069586 od 12.10.2012.</v>
      </c>
      <c r="E671" s="1" t="s">
        <v>15</v>
      </c>
      <c r="F671" s="1" t="str">
        <f>"68.500,00"</f>
        <v>68.500,00</v>
      </c>
      <c r="G671" s="1" t="str">
        <f>CONCATENATE("04.01.2013.",CHAR(10),"150 dana")</f>
        <v>04.01.2013.
150 dana</v>
      </c>
      <c r="H671" s="1" t="str">
        <f>CONCATENATE("FLUID-PROJEKT D.O.O., ZAPREŠIĆ",CHAR(10),"ELEKTRO EKSPERT D.O.O., ZAGREB",CHAR(10),"ETER D.O.O., ZAGREB")</f>
        <v>FLUID-PROJEKT D.O.O., ZAPREŠIĆ
ELEKTRO EKSPERT D.O.O., ZAGREB
ETER D.O.O., ZAGREB</v>
      </c>
      <c r="I671" s="1" t="s">
        <v>273</v>
      </c>
      <c r="J671" s="1" t="str">
        <f>SUBSTITUTE(SUBSTITUTE(SUBSTITUTE("85,624.00",".","-"),",","."),"-",",")</f>
        <v>85.624,00</v>
      </c>
      <c r="K671" s="2"/>
    </row>
    <row r="672" spans="1:11" ht="47.25" x14ac:dyDescent="0.25">
      <c r="A672" s="1" t="str">
        <f>"4/2013"</f>
        <v>4/2013</v>
      </c>
      <c r="B672" s="1" t="s">
        <v>14</v>
      </c>
      <c r="C672" s="1" t="s">
        <v>1972</v>
      </c>
      <c r="D672" s="1" t="str">
        <f>CONCATENATE("299-2012-EVV",CHAR(10),"2012/S 002-0041029 od 16.07.2012.")</f>
        <v>299-2012-EVV
2012/S 002-0041029 od 16.07.2012.</v>
      </c>
      <c r="E672" s="1" t="s">
        <v>15</v>
      </c>
      <c r="F672" s="1" t="str">
        <f>"29.646.449,57"</f>
        <v>29.646.449,57</v>
      </c>
      <c r="G672" s="1" t="str">
        <f>CONCATENATE("08.01.2013.",CHAR(10)," 31.07.2017.")</f>
        <v>08.01.2013.
 31.07.2017.</v>
      </c>
      <c r="H672" s="1" t="str">
        <f>CONCATENATE("ZAGREBAČKA BANKA D.D., ZAGREB")</f>
        <v>ZAGREBAČKA BANKA D.D., ZAGREB</v>
      </c>
      <c r="I672" s="2"/>
      <c r="J672" s="1"/>
      <c r="K672" s="2"/>
    </row>
    <row r="673" spans="1:11" ht="110.25" x14ac:dyDescent="0.25">
      <c r="A673" s="1" t="str">
        <f>"5/2013"</f>
        <v>5/2013</v>
      </c>
      <c r="B673" s="1" t="s">
        <v>14</v>
      </c>
      <c r="C673" s="1" t="s">
        <v>1973</v>
      </c>
      <c r="D673" s="1" t="str">
        <f>CONCATENATE("2499-2012-EMV",CHAR(10),"2012/S 002-0066392 od 03.10.2012.")</f>
        <v>2499-2012-EMV
2012/S 002-0066392 od 03.10.2012.</v>
      </c>
      <c r="E673" s="1" t="s">
        <v>15</v>
      </c>
      <c r="F673" s="1" t="str">
        <f>"80.000,00"</f>
        <v>80.000,00</v>
      </c>
      <c r="G673" s="1" t="str">
        <f>CONCATENATE("08.01.2013.",CHAR(10),"6 mjeseci")</f>
        <v>08.01.2013.
6 mjeseci</v>
      </c>
      <c r="H673" s="1" t="str">
        <f>CONCATENATE("APZ HIDRIA D.O.O., ZAGREB",CHAR(10),"VIBA-GEO D.O.O., ZAGREB",CHAR(10),"ELVEKO D.O.O., ZAGREB",CHAR(10),"ABC ING D.O.O., ZAGREB-DUBRAVA",CHAR(10),"MARKIVA PROJEKT D.O.O., ZAGREB",CHAR(10),"URED OVLAŠTENOG KRAJOBRAZNOG ARHITEKTA -ROBERT DUIĆ, ZAGREB")</f>
        <v>APZ HIDRIA D.O.O., ZAGREB
VIBA-GEO D.O.O., ZAGREB
ELVEKO D.O.O., ZAGREB
ABC ING D.O.O., ZAGREB-DUBRAVA
MARKIVA PROJEKT D.O.O., ZAGREB
URED OVLAŠTENOG KRAJOBRAZNOG ARHITEKTA -ROBERT DUIĆ, ZAGREB</v>
      </c>
      <c r="I673" s="2"/>
      <c r="J673" s="1"/>
      <c r="K673" s="2"/>
    </row>
    <row r="674" spans="1:11" ht="47.25" x14ac:dyDescent="0.25">
      <c r="A674" s="1" t="str">
        <f>"A-1/2013"</f>
        <v>A-1/2013</v>
      </c>
      <c r="B674" s="1" t="s">
        <v>11</v>
      </c>
      <c r="C674" s="1" t="s">
        <v>1974</v>
      </c>
      <c r="D674" s="1" t="str">
        <f>"EV-592-012/2011"</f>
        <v>EV-592-012/2011</v>
      </c>
      <c r="E674" s="2"/>
      <c r="F674" s="1" t="str">
        <f>"0,00"</f>
        <v>0,00</v>
      </c>
      <c r="G674" s="1" t="str">
        <f>CONCATENATE("08.01.2013.",CHAR(10)," 300 dana")</f>
        <v>08.01.2013.
 300 dana</v>
      </c>
      <c r="H674" s="1" t="str">
        <f>CONCATENATE("NEXE GRADNJA D.O.O., NAŠICE")</f>
        <v>NEXE GRADNJA D.O.O., NAŠICE</v>
      </c>
      <c r="I674" s="2"/>
      <c r="J674" s="1"/>
      <c r="K674" s="2"/>
    </row>
    <row r="675" spans="1:11" ht="47.25" x14ac:dyDescent="0.25">
      <c r="A675" s="1" t="str">
        <f>"6/2013"</f>
        <v>6/2013</v>
      </c>
      <c r="B675" s="1" t="s">
        <v>14</v>
      </c>
      <c r="C675" s="1" t="s">
        <v>1975</v>
      </c>
      <c r="D675" s="1" t="str">
        <f>CONCATENATE("2433-2012-EMV",CHAR(10),"2012/S 002-0056560 od 04.09.2012.")</f>
        <v>2433-2012-EMV
2012/S 002-0056560 od 04.09.2012.</v>
      </c>
      <c r="E675" s="1" t="s">
        <v>15</v>
      </c>
      <c r="F675" s="1" t="str">
        <f>"279.500,00"</f>
        <v>279.500,00</v>
      </c>
      <c r="G675" s="1" t="str">
        <f>CONCATENATE("08.01.2013.",CHAR(10),"12 mjeseci")</f>
        <v>08.01.2013.
12 mjeseci</v>
      </c>
      <c r="H675" s="1" t="str">
        <f>CONCATENATE("GEODETIKA D.O.O., ZAGREB")</f>
        <v>GEODETIKA D.O.O., ZAGREB</v>
      </c>
      <c r="I675" s="2"/>
      <c r="J675" s="1"/>
      <c r="K675" s="2"/>
    </row>
    <row r="676" spans="1:11" ht="47.25" x14ac:dyDescent="0.25">
      <c r="A676" s="1" t="str">
        <f>"7/2013"</f>
        <v>7/2013</v>
      </c>
      <c r="B676" s="1" t="s">
        <v>14</v>
      </c>
      <c r="C676" s="1" t="s">
        <v>1976</v>
      </c>
      <c r="D676" s="1" t="str">
        <f>CONCATENATE("2852-2012-EMV",CHAR(10),"2012/S 002-0072889 od 23.10.2012.")</f>
        <v>2852-2012-EMV
2012/S 002-0072889 od 23.10.2012.</v>
      </c>
      <c r="E676" s="1" t="s">
        <v>15</v>
      </c>
      <c r="F676" s="1" t="str">
        <f>"1.364.000,00"</f>
        <v>1.364.000,00</v>
      </c>
      <c r="G676" s="1" t="str">
        <f>CONCATENATE("08.01.2013.",CHAR(10),"90 dana")</f>
        <v>08.01.2013.
90 dana</v>
      </c>
      <c r="H676" s="1" t="str">
        <f>CONCATENATE("OMEGA SOFTWARE D.O.O., ZAGREB-SLOBOŠTINA")</f>
        <v>OMEGA SOFTWARE D.O.O., ZAGREB-SLOBOŠTINA</v>
      </c>
      <c r="I676" s="1" t="s">
        <v>203</v>
      </c>
      <c r="J676" s="1" t="str">
        <f>SUBSTITUTE(SUBSTITUTE(SUBSTITUTE("1,705,000.00",".","-"),",","."),"-",",")</f>
        <v>1.705.000,00</v>
      </c>
      <c r="K676" s="2"/>
    </row>
    <row r="677" spans="1:11" ht="63" x14ac:dyDescent="0.25">
      <c r="A677" s="1" t="str">
        <f>"8/2013"</f>
        <v>8/2013</v>
      </c>
      <c r="B677" s="1" t="s">
        <v>14</v>
      </c>
      <c r="C677" s="1" t="s">
        <v>1977</v>
      </c>
      <c r="D677" s="1" t="str">
        <f>CONCATENATE("31-2012-EMV",CHAR(10),"2012/S 002-0069947 od 15.10.2012.")</f>
        <v>31-2012-EMV
2012/S 002-0069947 od 15.10.2012.</v>
      </c>
      <c r="E677" s="1" t="s">
        <v>15</v>
      </c>
      <c r="F677" s="1" t="str">
        <f>"26.653,00"</f>
        <v>26.653,00</v>
      </c>
      <c r="G677" s="1" t="str">
        <f>CONCATENATE("08.01.2013.",CHAR(10),"od dana obostranog potpisa Ugovora do konačnog izvršenja svih usluga")</f>
        <v>08.01.2013.
od dana obostranog potpisa Ugovora do konačnog izvršenja svih usluga</v>
      </c>
      <c r="H677" s="1" t="str">
        <f>CONCATENATE("LAST MINUTE RENT A CAR-VIATOR D.O.O., SPLIT")</f>
        <v>LAST MINUTE RENT A CAR-VIATOR D.O.O., SPLIT</v>
      </c>
      <c r="I677" s="2"/>
      <c r="J677" s="1"/>
      <c r="K677" s="2"/>
    </row>
    <row r="678" spans="1:11" ht="110.25" x14ac:dyDescent="0.25">
      <c r="A678" s="1" t="str">
        <f>"9/2013"</f>
        <v>9/2013</v>
      </c>
      <c r="B678" s="1" t="s">
        <v>14</v>
      </c>
      <c r="C678" s="1" t="s">
        <v>1978</v>
      </c>
      <c r="D678" s="1" t="str">
        <f>CONCATENATE("2501-2012-EMV",CHAR(10),"2012/S 002-0065468 od 01.10.2012.")</f>
        <v>2501-2012-EMV
2012/S 002-0065468 od 01.10.2012.</v>
      </c>
      <c r="E678" s="1" t="s">
        <v>15</v>
      </c>
      <c r="F678" s="1" t="str">
        <f>"80.000,00"</f>
        <v>80.000,00</v>
      </c>
      <c r="G678" s="1" t="str">
        <f>CONCATENATE("08.01.2013.",CHAR(10),"6 mjeseci")</f>
        <v>08.01.2013.
6 mjeseci</v>
      </c>
      <c r="H678" s="1" t="str">
        <f>CONCATENATE("APZ HIDRIA D.O.O., ZAGREB",CHAR(10),"VIBA-GEO D.O.O., ZAGREB",CHAR(10),"ELVEKO D.O.O., ZAGREB",CHAR(10),"ABC ING D.O.O., ZAGREB-DUBRAVA",CHAR(10),"MARKIVA PROJEKT D.O.O., ZAGREB",CHAR(10),"URED OVLAŠTENOG KRAJOBRAZNOG ARHITEKTA -ROBERT DUIĆ, ZAGREB")</f>
        <v>APZ HIDRIA D.O.O., ZAGREB
VIBA-GEO D.O.O., ZAGREB
ELVEKO D.O.O., ZAGREB
ABC ING D.O.O., ZAGREB-DUBRAVA
MARKIVA PROJEKT D.O.O., ZAGREB
URED OVLAŠTENOG KRAJOBRAZNOG ARHITEKTA -ROBERT DUIĆ, ZAGREB</v>
      </c>
      <c r="I678" s="2"/>
      <c r="J678" s="1"/>
      <c r="K678" s="2"/>
    </row>
    <row r="679" spans="1:11" ht="63" x14ac:dyDescent="0.25">
      <c r="A679" s="1" t="str">
        <f>"10/2013"</f>
        <v>10/2013</v>
      </c>
      <c r="B679" s="1" t="s">
        <v>14</v>
      </c>
      <c r="C679" s="1" t="s">
        <v>1979</v>
      </c>
      <c r="D679" s="1" t="str">
        <f>"2-2012-EMV"</f>
        <v>2-2012-EMV</v>
      </c>
      <c r="E679" s="1" t="s">
        <v>40</v>
      </c>
      <c r="F679" s="1" t="str">
        <f>"276.656,00"</f>
        <v>276.656,00</v>
      </c>
      <c r="G679" s="1" t="str">
        <f>CONCATENATE("08.01.2013.",CHAR(10),"od dana obostranog potpisa Ugovora do konačnog izvršenja svih usluga")</f>
        <v>08.01.2013.
od dana obostranog potpisa Ugovora do konačnog izvršenja svih usluga</v>
      </c>
      <c r="H679" s="1" t="str">
        <f>CONCATENATE("SPLENDID UGOSTITELJSTVO D.O.O., ZAGREB")</f>
        <v>SPLENDID UGOSTITELJSTVO D.O.O., ZAGREB</v>
      </c>
      <c r="I679" s="2"/>
      <c r="J679" s="1"/>
      <c r="K679" s="2"/>
    </row>
    <row r="680" spans="1:11" ht="63" x14ac:dyDescent="0.25">
      <c r="A680" s="1" t="str">
        <f>"11/2013"</f>
        <v>11/2013</v>
      </c>
      <c r="B680" s="1" t="s">
        <v>136</v>
      </c>
      <c r="C680" s="1" t="s">
        <v>1980</v>
      </c>
      <c r="D680" s="1" t="str">
        <f>CONCATENATE("378-2012-EVV",CHAR(10),"2012/S 002-0048498 od 06.08.2012.")</f>
        <v>378-2012-EVV
2012/S 002-0048498 od 06.08.2012.</v>
      </c>
      <c r="E680" s="1" t="s">
        <v>139</v>
      </c>
      <c r="F680" s="1" t="str">
        <f>"30.298.086,50"</f>
        <v>30.298.086,50</v>
      </c>
      <c r="G680" s="1" t="str">
        <f>CONCATENATE("08.01.2013.",CHAR(10),"4 godine")</f>
        <v>08.01.2013.
4 godine</v>
      </c>
      <c r="H680" s="1" t="str">
        <f>CONCATENATE("DUKAT D.D., ZAGREB",CHAR(10),"VINDIJA D.D., VARAŽDIN")</f>
        <v>DUKAT D.D., ZAGREB
VINDIJA D.D., VARAŽDIN</v>
      </c>
      <c r="I680" s="2"/>
      <c r="J680" s="1"/>
      <c r="K680" s="2"/>
    </row>
    <row r="681" spans="1:11" ht="78.75" x14ac:dyDescent="0.25">
      <c r="A681" s="1" t="str">
        <f>"12/2013"</f>
        <v>12/2013</v>
      </c>
      <c r="B681" s="1" t="s">
        <v>14</v>
      </c>
      <c r="C681" s="1" t="s">
        <v>1981</v>
      </c>
      <c r="D681" s="1" t="str">
        <f>CONCATENATE("864-2012-EMV",CHAR(10),"2012/S 002-0062278 od 20.09.2012.")</f>
        <v>864-2012-EMV
2012/S 002-0062278 od 20.09.2012.</v>
      </c>
      <c r="E681" s="1" t="s">
        <v>15</v>
      </c>
      <c r="F681" s="1" t="str">
        <f>"49.000,00"</f>
        <v>49.000,00</v>
      </c>
      <c r="G681" s="1" t="str">
        <f>CONCATENATE("08.01.2013.",CHAR(10),"2 mjeseca")</f>
        <v>08.01.2013.
2 mjeseca</v>
      </c>
      <c r="H681" s="1" t="str">
        <f>CONCATENATE("PROMPT D.O.O., ZAGREB",CHAR(10),"ZG-PROJEKT D.O.O., ZAGREB",CHAR(10),"GEO 6 D.O.O, ZAGREB-SUSEDGRAD")</f>
        <v>PROMPT D.O.O., ZAGREB
ZG-PROJEKT D.O.O., ZAGREB
GEO 6 D.O.O, ZAGREB-SUSEDGRAD</v>
      </c>
      <c r="I681" s="2"/>
      <c r="J681" s="1"/>
      <c r="K681" s="2"/>
    </row>
    <row r="682" spans="1:11" ht="78.75" x14ac:dyDescent="0.25">
      <c r="A682" s="1" t="str">
        <f>"A-2/2013"</f>
        <v>A-2/2013</v>
      </c>
      <c r="B682" s="1" t="s">
        <v>11</v>
      </c>
      <c r="C682" s="1" t="s">
        <v>1982</v>
      </c>
      <c r="D682" s="1" t="str">
        <f>"845-2012-EMV"</f>
        <v>845-2012-EMV</v>
      </c>
      <c r="E682" s="2"/>
      <c r="F682" s="1" t="str">
        <f>"0,00"</f>
        <v>0,00</v>
      </c>
      <c r="G682" s="1" t="str">
        <f>CONCATENATE("09.01.2013.",CHAR(10),"15.03.2013.")</f>
        <v>09.01.2013.
15.03.2013.</v>
      </c>
      <c r="H682" s="1" t="str">
        <f>CONCATENATE("GIP PIONIR D.O.O., ZAGREB")</f>
        <v>GIP PIONIR D.O.O., ZAGREB</v>
      </c>
      <c r="I682" s="2"/>
      <c r="J682" s="1"/>
      <c r="K682" s="2"/>
    </row>
    <row r="683" spans="1:11" ht="63" x14ac:dyDescent="0.25">
      <c r="A683" s="1" t="str">
        <f>"A-3/2013"</f>
        <v>A-3/2013</v>
      </c>
      <c r="B683" s="1" t="s">
        <v>11</v>
      </c>
      <c r="C683" s="1" t="s">
        <v>1983</v>
      </c>
      <c r="D683" s="1" t="str">
        <f>"840-2012-EMV"</f>
        <v>840-2012-EMV</v>
      </c>
      <c r="E683" s="2"/>
      <c r="F683" s="1" t="str">
        <f>"0,00"</f>
        <v>0,00</v>
      </c>
      <c r="G683" s="1" t="str">
        <f>CONCATENATE("09.01.2013.",CHAR(10)," 15.03.2013.")</f>
        <v>09.01.2013.
 15.03.2013.</v>
      </c>
      <c r="H683" s="1" t="str">
        <f>CONCATENATE("MONTEL D.O.O., ZAGREB")</f>
        <v>MONTEL D.O.O., ZAGREB</v>
      </c>
      <c r="I683" s="2"/>
      <c r="J683" s="1"/>
      <c r="K683" s="2"/>
    </row>
    <row r="684" spans="1:11" ht="47.25" x14ac:dyDescent="0.25">
      <c r="A684" s="1" t="str">
        <f>"A-4/2013"</f>
        <v>A-4/2013</v>
      </c>
      <c r="B684" s="1" t="s">
        <v>11</v>
      </c>
      <c r="C684" s="1" t="s">
        <v>1984</v>
      </c>
      <c r="D684" s="1" t="str">
        <f>"224-2012-EMV"</f>
        <v>224-2012-EMV</v>
      </c>
      <c r="E684" s="2"/>
      <c r="F684" s="1" t="str">
        <f>"0,00"</f>
        <v>0,00</v>
      </c>
      <c r="G684" s="1" t="str">
        <f>CONCATENATE("09.01.2013.",CHAR(10)," 31.12.2013.")</f>
        <v>09.01.2013.
 31.12.2013.</v>
      </c>
      <c r="H684" s="1" t="str">
        <f>CONCATENATE("MGV D.O.O., ZAGREB",CHAR(10),"MONTEL D.O.O., ZAGREB")</f>
        <v>MGV D.O.O., ZAGREB
MONTEL D.O.O., ZAGREB</v>
      </c>
      <c r="I684" s="2"/>
      <c r="J684" s="1"/>
      <c r="K684" s="2"/>
    </row>
    <row r="685" spans="1:11" ht="47.25" x14ac:dyDescent="0.25">
      <c r="A685" s="1" t="str">
        <f>"13/2013"</f>
        <v>13/2013</v>
      </c>
      <c r="B685" s="1" t="s">
        <v>14</v>
      </c>
      <c r="C685" s="1" t="s">
        <v>1985</v>
      </c>
      <c r="D685" s="1" t="str">
        <f>CONCATENATE("2460-2012-EMV",CHAR(10),"2012/S 002-0060443 od 14.09.2012.")</f>
        <v>2460-2012-EMV
2012/S 002-0060443 od 14.09.2012.</v>
      </c>
      <c r="E685" s="1" t="s">
        <v>15</v>
      </c>
      <c r="F685" s="1" t="str">
        <f>"14.964,00"</f>
        <v>14.964,00</v>
      </c>
      <c r="G685" s="1" t="str">
        <f>CONCATENATE("09.01.2013.",CHAR(10),"tijekom 12 mjeseci")</f>
        <v>09.01.2013.
tijekom 12 mjeseci</v>
      </c>
      <c r="H685" s="1" t="str">
        <f>CONCATENATE("STUDIO G DVA D.O.O., ZAGREB",CHAR(10),"PLAN PLUS D.O.O., ZAGREB")</f>
        <v>STUDIO G DVA D.O.O., ZAGREB
PLAN PLUS D.O.O., ZAGREB</v>
      </c>
      <c r="I685" s="2"/>
      <c r="J685" s="1"/>
      <c r="K685" s="2"/>
    </row>
    <row r="686" spans="1:11" ht="47.25" x14ac:dyDescent="0.25">
      <c r="A686" s="1" t="str">
        <f>"14/2013"</f>
        <v>14/2013</v>
      </c>
      <c r="B686" s="1" t="s">
        <v>14</v>
      </c>
      <c r="C686" s="1" t="s">
        <v>1986</v>
      </c>
      <c r="D686" s="1" t="str">
        <f>CONCATENATE("1084-2012-EMV",CHAR(10),"2012/S 002-0041640 od 17.07.2012.")</f>
        <v>1084-2012-EMV
2012/S 002-0041640 od 17.07.2012.</v>
      </c>
      <c r="E686" s="1" t="s">
        <v>15</v>
      </c>
      <c r="F686" s="1" t="str">
        <f>"521.626,00"</f>
        <v>521.626,00</v>
      </c>
      <c r="G686" s="1" t="str">
        <f>CONCATENATE("10.01.2013.",CHAR(10),"12 mjeseci")</f>
        <v>10.01.2013.
12 mjeseci</v>
      </c>
      <c r="H686" s="1" t="str">
        <f>CONCATENATE("TERMORAD D.O.O., ZAGREB")</f>
        <v>TERMORAD D.O.O., ZAGREB</v>
      </c>
      <c r="I686" s="1" t="s">
        <v>315</v>
      </c>
      <c r="J686" s="1" t="str">
        <f>SUBSTITUTE(SUBSTITUTE(SUBSTITUTE("429,947.43",".","-"),",","."),"-",",")</f>
        <v>429.947,43</v>
      </c>
      <c r="K686" s="2"/>
    </row>
    <row r="687" spans="1:11" ht="63" x14ac:dyDescent="0.25">
      <c r="A687" s="1" t="str">
        <f>"A-5/2013"</f>
        <v>A-5/2013</v>
      </c>
      <c r="B687" s="1" t="s">
        <v>11</v>
      </c>
      <c r="C687" s="1" t="s">
        <v>1987</v>
      </c>
      <c r="D687" s="1" t="str">
        <f>"506-2012-EMV"</f>
        <v>506-2012-EMV</v>
      </c>
      <c r="E687" s="2"/>
      <c r="F687" s="1" t="str">
        <f>"0,00"</f>
        <v>0,00</v>
      </c>
      <c r="G687" s="1" t="str">
        <f>CONCATENATE("10.01.2013.",CHAR(10)," 15.12.2013.")</f>
        <v>10.01.2013.
 15.12.2013.</v>
      </c>
      <c r="H687" s="1" t="str">
        <f>CONCATENATE("SVEUČILIŠTE U ZAGREBU - ŠUMARSKI FAKULTET, ZAGREB")</f>
        <v>SVEUČILIŠTE U ZAGREBU - ŠUMARSKI FAKULTET, ZAGREB</v>
      </c>
      <c r="I687" s="2"/>
      <c r="J687" s="1"/>
      <c r="K687" s="2"/>
    </row>
    <row r="688" spans="1:11" ht="47.25" x14ac:dyDescent="0.25">
      <c r="A688" s="1" t="str">
        <f>"15/2013"</f>
        <v>15/2013</v>
      </c>
      <c r="B688" s="1" t="s">
        <v>26</v>
      </c>
      <c r="C688" s="1" t="s">
        <v>316</v>
      </c>
      <c r="D688" s="1" t="str">
        <f>CONCATENATE("131-2012-EVV",CHAR(10),"2012/S 002-0073208 od 24.10.2012.")</f>
        <v>131-2012-EVV
2012/S 002-0073208 od 24.10.2012.</v>
      </c>
      <c r="E688" s="1" t="s">
        <v>27</v>
      </c>
      <c r="F688" s="1" t="str">
        <f>"1.397.225,60"</f>
        <v>1.397.225,60</v>
      </c>
      <c r="G688" s="1" t="str">
        <f>CONCATENATE("14.01.2013.",CHAR(10),"12 mjeseci")</f>
        <v>14.01.2013.
12 mjeseci</v>
      </c>
      <c r="H688" s="1" t="str">
        <f>CONCATENATE("OGANJ D.O.O., ZAGREB")</f>
        <v>OGANJ D.O.O., ZAGREB</v>
      </c>
      <c r="I688" s="1" t="s">
        <v>317</v>
      </c>
      <c r="J688" s="1" t="str">
        <f>SUBSTITUTE(SUBSTITUTE(SUBSTITUTE("1,741,132.13",".","-"),",","."),"-",",")</f>
        <v>1.741.132,13</v>
      </c>
      <c r="K688" s="2"/>
    </row>
    <row r="689" spans="1:11" ht="63" x14ac:dyDescent="0.25">
      <c r="A689" s="1" t="str">
        <f>"16/2013"</f>
        <v>16/2013</v>
      </c>
      <c r="B689" s="1" t="s">
        <v>14</v>
      </c>
      <c r="C689" s="1" t="s">
        <v>1988</v>
      </c>
      <c r="D689" s="1" t="str">
        <f>CONCATENATE("3-2012-EMV",CHAR(10),"2012/S 002-0075497 od 31.10.2012.")</f>
        <v>3-2012-EMV
2012/S 002-0075497 od 31.10.2012.</v>
      </c>
      <c r="E689" s="1" t="s">
        <v>15</v>
      </c>
      <c r="F689" s="1" t="str">
        <f>"299.379,50"</f>
        <v>299.379,50</v>
      </c>
      <c r="G689" s="1" t="str">
        <f>CONCATENATE("14.01.2013.",CHAR(10),"od dana obostranog potpisa Ugovora do konačnog izvršenja svih usluga")</f>
        <v>14.01.2013.
od dana obostranog potpisa Ugovora do konačnog izvršenja svih usluga</v>
      </c>
      <c r="H689" s="1" t="str">
        <f>CONCATENATE("ADRIA GASTRO D.O.O., ZAGREB")</f>
        <v>ADRIA GASTRO D.O.O., ZAGREB</v>
      </c>
      <c r="I689" s="2"/>
      <c r="J689" s="1"/>
      <c r="K689" s="2"/>
    </row>
    <row r="690" spans="1:11" ht="47.25" x14ac:dyDescent="0.25">
      <c r="A690" s="1" t="str">
        <f>"17/2013"</f>
        <v>17/2013</v>
      </c>
      <c r="B690" s="1" t="s">
        <v>14</v>
      </c>
      <c r="C690" s="1" t="s">
        <v>1989</v>
      </c>
      <c r="D690" s="1" t="str">
        <f>CONCATENATE("2568-2012-EMV",CHAR(10),"2012/S 015-0094419 od 24.12.2012.")</f>
        <v>2568-2012-EMV
2012/S 015-0094419 od 24.12.2012.</v>
      </c>
      <c r="E690" s="1" t="s">
        <v>12</v>
      </c>
      <c r="F690" s="1" t="str">
        <f>"6.156.153,92"</f>
        <v>6.156.153,92</v>
      </c>
      <c r="G690" s="1" t="str">
        <f>CONCATENATE("15.01.2013.",CHAR(10),"31.12.2013.")</f>
        <v>15.01.2013.
31.12.2013.</v>
      </c>
      <c r="H690" s="1" t="str">
        <f>CONCATENATE("HEP-OPERATOR DISTRIBUCIJSKOG SUSTAVA D.O.O., ZAGREB")</f>
        <v>HEP-OPERATOR DISTRIBUCIJSKOG SUSTAVA D.O.O., ZAGREB</v>
      </c>
      <c r="I690" s="2"/>
      <c r="J690" s="1"/>
      <c r="K690" s="2"/>
    </row>
    <row r="691" spans="1:11" ht="47.25" x14ac:dyDescent="0.25">
      <c r="A691" s="1" t="str">
        <f>"18/2013"</f>
        <v>18/2013</v>
      </c>
      <c r="B691" s="1" t="s">
        <v>14</v>
      </c>
      <c r="C691" s="1" t="s">
        <v>1990</v>
      </c>
      <c r="D691" s="1" t="str">
        <f>CONCATENATE("2505-2012-EMV",CHAR(10),"2012/S 002-0072669 od 23.10.2012.")</f>
        <v>2505-2012-EMV
2012/S 002-0072669 od 23.10.2012.</v>
      </c>
      <c r="E691" s="1" t="s">
        <v>15</v>
      </c>
      <c r="F691" s="1" t="str">
        <f>"49.400,00"</f>
        <v>49.400,00</v>
      </c>
      <c r="G691" s="1" t="str">
        <f>CONCATENATE("16.01.2013.",CHAR(10),"30 dana")</f>
        <v>16.01.2013.
30 dana</v>
      </c>
      <c r="H691" s="1" t="str">
        <f>CONCATENATE("HIDROELEKTRA-PROJEKT D.O.O., ZAGREB")</f>
        <v>HIDROELEKTRA-PROJEKT D.O.O., ZAGREB</v>
      </c>
      <c r="I691" s="2"/>
      <c r="J691" s="1"/>
      <c r="K691" s="2"/>
    </row>
    <row r="692" spans="1:11" ht="63" x14ac:dyDescent="0.25">
      <c r="A692" s="1" t="str">
        <f>"A-6/2013"</f>
        <v>A-6/2013</v>
      </c>
      <c r="B692" s="1" t="s">
        <v>11</v>
      </c>
      <c r="C692" s="1" t="s">
        <v>1991</v>
      </c>
      <c r="D692" s="1" t="str">
        <f>"2696-2012-EMV"</f>
        <v>2696-2012-EMV</v>
      </c>
      <c r="E692" s="2"/>
      <c r="F692" s="1" t="str">
        <f>"0,00"</f>
        <v>0,00</v>
      </c>
      <c r="G692" s="1" t="str">
        <f>CONCATENATE("16.01.2013.",CHAR(10),"31.12.2013.")</f>
        <v>16.01.2013.
31.12.2013.</v>
      </c>
      <c r="H692" s="1" t="str">
        <f>CONCATENATE("URIHO - USTANOVA ZA PROFESIONALNU REHABILITACIJU I ZAPOŠLJAVANJE OSOBA S INVALIDITETOM, ZAGREB")</f>
        <v>URIHO - USTANOVA ZA PROFESIONALNU REHABILITACIJU I ZAPOŠLJAVANJE OSOBA S INVALIDITETOM, ZAGREB</v>
      </c>
      <c r="I692" s="2"/>
      <c r="J692" s="1"/>
      <c r="K692" s="2"/>
    </row>
    <row r="693" spans="1:11" ht="63" x14ac:dyDescent="0.25">
      <c r="A693" s="1" t="str">
        <f>"19/2013"</f>
        <v>19/2013</v>
      </c>
      <c r="B693" s="1" t="s">
        <v>14</v>
      </c>
      <c r="C693" s="1" t="s">
        <v>1992</v>
      </c>
      <c r="D693" s="1" t="str">
        <f>CONCATENATE("2503-2012-EMV",CHAR(10),"2012/S 002-0072801 od 23.10.2012.")</f>
        <v>2503-2012-EMV
2012/S 002-0072801 od 23.10.2012.</v>
      </c>
      <c r="E693" s="1" t="s">
        <v>15</v>
      </c>
      <c r="F693" s="1" t="str">
        <f>"47.000,00"</f>
        <v>47.000,00</v>
      </c>
      <c r="G693" s="1" t="str">
        <f>CONCATENATE("16.01.2013.",CHAR(10),"30 dana")</f>
        <v>16.01.2013.
30 dana</v>
      </c>
      <c r="H693" s="1" t="str">
        <f>CONCATENATE("HIDROELEKTRA-PROJEKT D.O.O., ZAGREB")</f>
        <v>HIDROELEKTRA-PROJEKT D.O.O., ZAGREB</v>
      </c>
      <c r="I693" s="2"/>
      <c r="J693" s="1"/>
      <c r="K693" s="2"/>
    </row>
    <row r="694" spans="1:11" ht="110.25" x14ac:dyDescent="0.25">
      <c r="A694" s="1" t="str">
        <f>"A-7/2013"</f>
        <v>A-7/2013</v>
      </c>
      <c r="B694" s="1" t="s">
        <v>11</v>
      </c>
      <c r="C694" s="1" t="s">
        <v>1993</v>
      </c>
      <c r="D694" s="1" t="str">
        <f>"838-2012-EMV"</f>
        <v>838-2012-EMV</v>
      </c>
      <c r="E694" s="2"/>
      <c r="F694" s="1" t="str">
        <f>"0,00"</f>
        <v>0,00</v>
      </c>
      <c r="G694" s="1" t="str">
        <f>CONCATENATE("16.01.2013.",CHAR(10),"15.03.2013.")</f>
        <v>16.01.2013.
15.03.2013.</v>
      </c>
      <c r="H694" s="1" t="str">
        <f>CONCATENATE("HIDROCOMMERCE D.O.O., GORNJI STUPNIK")</f>
        <v>HIDROCOMMERCE D.O.O., GORNJI STUPNIK</v>
      </c>
      <c r="I694" s="2"/>
      <c r="J694" s="1"/>
      <c r="K694" s="2"/>
    </row>
    <row r="695" spans="1:11" ht="63" x14ac:dyDescent="0.25">
      <c r="A695" s="1" t="str">
        <f>"A-8/2013"</f>
        <v>A-8/2013</v>
      </c>
      <c r="B695" s="1" t="s">
        <v>11</v>
      </c>
      <c r="C695" s="1" t="s">
        <v>1994</v>
      </c>
      <c r="D695" s="1" t="str">
        <f>"EV-283-012/2011"</f>
        <v>EV-283-012/2011</v>
      </c>
      <c r="E695" s="2"/>
      <c r="F695" s="1" t="str">
        <f>"0,00"</f>
        <v>0,00</v>
      </c>
      <c r="G695" s="1" t="str">
        <f>CONCATENATE("16.01.2013.",CHAR(10),"01.03.2013.")</f>
        <v>16.01.2013.
01.03.2013.</v>
      </c>
      <c r="H695" s="1" t="str">
        <f>CONCATENATE("TIGRA D.O.O., ZAGREB")</f>
        <v>TIGRA D.O.O., ZAGREB</v>
      </c>
      <c r="I695" s="2"/>
      <c r="J695" s="1"/>
      <c r="K695" s="2"/>
    </row>
    <row r="696" spans="1:11" ht="78.75" x14ac:dyDescent="0.25">
      <c r="A696" s="1" t="str">
        <f>"20/2013"</f>
        <v>20/2013</v>
      </c>
      <c r="B696" s="1" t="s">
        <v>14</v>
      </c>
      <c r="C696" s="1" t="s">
        <v>1995</v>
      </c>
      <c r="D696" s="1" t="str">
        <f>CONCATENATE("2849-2012-EMV",CHAR(10),"2012/S 002-0069999 od 15.10.2012., te ispravak 2012/S-014-0076389 od 05.11.2012.")</f>
        <v>2849-2012-EMV
2012/S 002-0069999 od 15.10.2012., te ispravak 2012/S-014-0076389 od 05.11.2012.</v>
      </c>
      <c r="E696" s="1" t="s">
        <v>15</v>
      </c>
      <c r="F696" s="1" t="str">
        <f>"124.500,00"</f>
        <v>124.500,00</v>
      </c>
      <c r="G696" s="1" t="str">
        <f>CONCATENATE("16.01.2013.",CHAR(10),"150 dana")</f>
        <v>16.01.2013.
150 dana</v>
      </c>
      <c r="H696" s="1" t="str">
        <f>CONCATENATE("BRODARSKI INSTITUT D.O.O., ZAGREB-NOVI ZAGREB")</f>
        <v>BRODARSKI INSTITUT D.O.O., ZAGREB-NOVI ZAGREB</v>
      </c>
      <c r="I696" s="1" t="s">
        <v>318</v>
      </c>
      <c r="J696" s="1" t="str">
        <f>SUBSTITUTE(SUBSTITUTE(SUBSTITUTE("155,625.00",".","-"),",","."),"-",",")</f>
        <v>155.625,00</v>
      </c>
      <c r="K696" s="2"/>
    </row>
    <row r="697" spans="1:11" ht="78.75" x14ac:dyDescent="0.25">
      <c r="A697" s="1" t="str">
        <f>"R-1/2013"</f>
        <v>R-1/2013</v>
      </c>
      <c r="B697" s="1" t="s">
        <v>56</v>
      </c>
      <c r="C697" s="1" t="s">
        <v>1996</v>
      </c>
      <c r="D697" s="1" t="str">
        <f>"EM-701-012/2011"</f>
        <v>EM-701-012/2011</v>
      </c>
      <c r="E697" s="2"/>
      <c r="F697" s="1" t="str">
        <f>"0,00"</f>
        <v>0,00</v>
      </c>
      <c r="G697" s="1" t="str">
        <f>"16.01.2013."</f>
        <v>16.01.2013.</v>
      </c>
      <c r="H697" s="1" t="str">
        <f>CONCATENATE("DALEKOVOD-PROJEKT D.O.O., ZAGREB")</f>
        <v>DALEKOVOD-PROJEKT D.O.O., ZAGREB</v>
      </c>
      <c r="I697" s="2"/>
      <c r="J697" s="1"/>
      <c r="K697" s="2"/>
    </row>
    <row r="698" spans="1:11" ht="63" x14ac:dyDescent="0.25">
      <c r="A698" s="1" t="str">
        <f>"21/2013"</f>
        <v>21/2013</v>
      </c>
      <c r="B698" s="1" t="s">
        <v>14</v>
      </c>
      <c r="C698" s="1" t="s">
        <v>1997</v>
      </c>
      <c r="D698" s="1" t="str">
        <f>CONCATENATE("2506-2012-EMV",CHAR(10),"2012/S 002-0072169 od 22.10.2012.")</f>
        <v>2506-2012-EMV
2012/S 002-0072169 od 22.10.2012.</v>
      </c>
      <c r="E698" s="1" t="s">
        <v>15</v>
      </c>
      <c r="F698" s="1" t="str">
        <f>"55.350,00"</f>
        <v>55.350,00</v>
      </c>
      <c r="G698" s="1" t="str">
        <f>CONCATENATE("18.01.2013.",CHAR(10),"30 dana")</f>
        <v>18.01.2013.
30 dana</v>
      </c>
      <c r="H698" s="1" t="str">
        <f>CONCATENATE("GEOPROJEKT D.O.O., ZAGREB")</f>
        <v>GEOPROJEKT D.O.O., ZAGREB</v>
      </c>
      <c r="I698" s="1" t="s">
        <v>319</v>
      </c>
      <c r="J698" s="1" t="str">
        <f>SUBSTITUTE(SUBSTITUTE(SUBSTITUTE("65,850.00",".","-"),",","."),"-",",")</f>
        <v>65.850,00</v>
      </c>
      <c r="K698" s="2"/>
    </row>
    <row r="699" spans="1:11" ht="47.25" x14ac:dyDescent="0.25">
      <c r="A699" s="1" t="str">
        <f>"22/2013"</f>
        <v>22/2013</v>
      </c>
      <c r="B699" s="1" t="s">
        <v>14</v>
      </c>
      <c r="C699" s="1" t="s">
        <v>1998</v>
      </c>
      <c r="D699" s="1" t="str">
        <f>CONCATENATE("747-2012-EMV",CHAR(10),"2012/S 002-0017903 od 09.05.2012.")</f>
        <v>747-2012-EMV
2012/S 002-0017903 od 09.05.2012.</v>
      </c>
      <c r="E699" s="1" t="s">
        <v>15</v>
      </c>
      <c r="F699" s="1" t="str">
        <f>"294.027,58"</f>
        <v>294.027,58</v>
      </c>
      <c r="G699" s="1" t="str">
        <f>CONCATENATE("18.01.2013.",CHAR(10),"6 mjeseci")</f>
        <v>18.01.2013.
6 mjeseci</v>
      </c>
      <c r="H699" s="1" t="str">
        <f>CONCATENATE("HEDOM D.O.O., ZAGREB")</f>
        <v>HEDOM D.O.O., ZAGREB</v>
      </c>
      <c r="I699" s="1" t="s">
        <v>320</v>
      </c>
      <c r="J699" s="1" t="str">
        <f>SUBSTITUTE(SUBSTITUTE(SUBSTITUTE("348,091.17",".","-"),",","."),"-",",")</f>
        <v>348.091,17</v>
      </c>
      <c r="K699" s="2"/>
    </row>
    <row r="700" spans="1:11" ht="63" x14ac:dyDescent="0.25">
      <c r="A700" s="1" t="str">
        <f>"R-2/2013"</f>
        <v>R-2/2013</v>
      </c>
      <c r="B700" s="1" t="s">
        <v>56</v>
      </c>
      <c r="C700" s="1" t="s">
        <v>1999</v>
      </c>
      <c r="D700" s="1" t="str">
        <f>"1851-2012-EMV"</f>
        <v>1851-2012-EMV</v>
      </c>
      <c r="E700" s="2"/>
      <c r="F700" s="1" t="str">
        <f>"0,00"</f>
        <v>0,00</v>
      </c>
      <c r="G700" s="1" t="str">
        <f>"21.01.2013."</f>
        <v>21.01.2013.</v>
      </c>
      <c r="H700" s="1" t="str">
        <f>CONCATENATE("HEDOM D.O.O., ZAGREB")</f>
        <v>HEDOM D.O.O., ZAGREB</v>
      </c>
      <c r="I700" s="2"/>
      <c r="J700" s="1"/>
      <c r="K700" s="2"/>
    </row>
    <row r="701" spans="1:11" ht="47.25" x14ac:dyDescent="0.25">
      <c r="A701" s="1" t="str">
        <f>"23/2013"</f>
        <v>23/2013</v>
      </c>
      <c r="B701" s="1" t="s">
        <v>14</v>
      </c>
      <c r="C701" s="1" t="s">
        <v>2000</v>
      </c>
      <c r="D701" s="1" t="str">
        <f>CONCATENATE("2850-2012-EMV",CHAR(10),"2012/S 002-0075069 od 30.10.2012.")</f>
        <v>2850-2012-EMV
2012/S 002-0075069 od 30.10.2012.</v>
      </c>
      <c r="E701" s="1" t="s">
        <v>15</v>
      </c>
      <c r="F701" s="1" t="str">
        <f>"238.400,00"</f>
        <v>238.400,00</v>
      </c>
      <c r="G701" s="1" t="str">
        <f>CONCATENATE("21.01.2013.",CHAR(10),"180 dana")</f>
        <v>21.01.2013.
180 dana</v>
      </c>
      <c r="H701" s="1" t="str">
        <f>CONCATENATE("MAŠINOPROJEKT D.O.O., ZAGREB",CHAR(10),"INKOS D.O.O., SVETA NEDJELJA")</f>
        <v>MAŠINOPROJEKT D.O.O., ZAGREB
INKOS D.O.O., SVETA NEDJELJA</v>
      </c>
      <c r="I701" s="1" t="s">
        <v>321</v>
      </c>
      <c r="J701" s="1" t="str">
        <f>SUBSTITUTE(SUBSTITUTE(SUBSTITUTE("298,000.00",".","-"),",","."),"-",",")</f>
        <v>298.000,00</v>
      </c>
      <c r="K701" s="2"/>
    </row>
    <row r="702" spans="1:11" ht="47.25" x14ac:dyDescent="0.25">
      <c r="A702" s="1" t="str">
        <f>"24/2013"</f>
        <v>24/2013</v>
      </c>
      <c r="B702" s="1" t="s">
        <v>14</v>
      </c>
      <c r="C702" s="1" t="s">
        <v>2001</v>
      </c>
      <c r="D702" s="1" t="str">
        <f>CONCATENATE("2837-2012-EMV",CHAR(10),"2012/S 002-0064605 od 27.09.2012.")</f>
        <v>2837-2012-EMV
2012/S 002-0064605 od 27.09.2012.</v>
      </c>
      <c r="E702" s="1" t="s">
        <v>15</v>
      </c>
      <c r="F702" s="1" t="str">
        <f>"46.394,20"</f>
        <v>46.394,20</v>
      </c>
      <c r="G702" s="1" t="str">
        <f>CONCATENATE("21.01.2013.",CHAR(10),"30 dana")</f>
        <v>21.01.2013.
30 dana</v>
      </c>
      <c r="H702" s="1" t="str">
        <f>CONCATENATE("ELICOM D.O.O., ZAGREB",CHAR(10),"GEO GRUPA D.O.O., ZAGREB")</f>
        <v>ELICOM D.O.O., ZAGREB
GEO GRUPA D.O.O., ZAGREB</v>
      </c>
      <c r="I702" s="2"/>
      <c r="J702" s="1"/>
      <c r="K702" s="2"/>
    </row>
    <row r="703" spans="1:11" ht="47.25" x14ac:dyDescent="0.25">
      <c r="A703" s="1" t="str">
        <f>"A-9/2013"</f>
        <v>A-9/2013</v>
      </c>
      <c r="B703" s="1" t="s">
        <v>11</v>
      </c>
      <c r="C703" s="1" t="s">
        <v>2002</v>
      </c>
      <c r="D703" s="1" t="str">
        <f>"452-2012-EMV"</f>
        <v>452-2012-EMV</v>
      </c>
      <c r="E703" s="2"/>
      <c r="F703" s="1" t="str">
        <f>"0,00"</f>
        <v>0,00</v>
      </c>
      <c r="G703" s="1" t="str">
        <f>CONCATENATE("21.01.2013.",CHAR(10)," 40 dana")</f>
        <v>21.01.2013.
 40 dana</v>
      </c>
      <c r="H703" s="1" t="str">
        <f>CONCATENATE("ŠKOLSKI SERVIS D.O.O., ZAGREB")</f>
        <v>ŠKOLSKI SERVIS D.O.O., ZAGREB</v>
      </c>
      <c r="I703" s="2"/>
      <c r="J703" s="1"/>
      <c r="K703" s="2"/>
    </row>
    <row r="704" spans="1:11" ht="47.25" x14ac:dyDescent="0.25">
      <c r="A704" s="1" t="str">
        <f>"25/2013"</f>
        <v>25/2013</v>
      </c>
      <c r="B704" s="1" t="s">
        <v>14</v>
      </c>
      <c r="C704" s="1" t="s">
        <v>2003</v>
      </c>
      <c r="D704" s="1" t="str">
        <f>CONCATENATE("27-2012-EMV",CHAR(10),"2012/S 002-0074337 od 26.10.2012.")</f>
        <v>27-2012-EMV
2012/S 002-0074337 od 26.10.2012.</v>
      </c>
      <c r="E704" s="1" t="s">
        <v>15</v>
      </c>
      <c r="F704" s="1" t="str">
        <f>"196.816,00"</f>
        <v>196.816,00</v>
      </c>
      <c r="G704" s="1" t="str">
        <f>CONCATENATE("14.01.2013.",CHAR(10),"tijekom 12 mjeseci")</f>
        <v>14.01.2013.
tijekom 12 mjeseci</v>
      </c>
      <c r="H704" s="1" t="str">
        <f>CONCATENATE("HP-HRVATSKA POŠTA, ZAGREB")</f>
        <v>HP-HRVATSKA POŠTA, ZAGREB</v>
      </c>
      <c r="I704" s="1" t="s">
        <v>38</v>
      </c>
      <c r="J704" s="1" t="str">
        <f>SUBSTITUTE(SUBSTITUTE(SUBSTITUTE("47,786.25",".","-"),",","."),"-",",")</f>
        <v>47.786,25</v>
      </c>
      <c r="K704" s="2"/>
    </row>
    <row r="705" spans="1:11" ht="47.25" x14ac:dyDescent="0.25">
      <c r="A705" s="1" t="str">
        <f>"28/2013"</f>
        <v>28/2013</v>
      </c>
      <c r="B705" s="1" t="s">
        <v>14</v>
      </c>
      <c r="C705" s="1" t="s">
        <v>2004</v>
      </c>
      <c r="D705" s="1" t="str">
        <f>CONCATENATE("456-2012-EVV",CHAR(10),"2012/S 015-0054067 od 27.08.2012.")</f>
        <v>456-2012-EVV
2012/S 015-0054067 od 27.08.2012.</v>
      </c>
      <c r="E705" s="1" t="s">
        <v>40</v>
      </c>
      <c r="F705" s="1" t="str">
        <f>"2.281.795,92"</f>
        <v>2.281.795,92</v>
      </c>
      <c r="G705" s="1" t="str">
        <f>CONCATENATE("23.01.2013.",CHAR(10),"12 mjeseci")</f>
        <v>23.01.2013.
12 mjeseci</v>
      </c>
      <c r="H705" s="1" t="str">
        <f>CONCATENATE("V GRUPA D.O.O., ZAGREB")</f>
        <v>V GRUPA D.O.O., ZAGREB</v>
      </c>
      <c r="I705" s="2"/>
      <c r="J705" s="1"/>
      <c r="K705" s="2"/>
    </row>
    <row r="706" spans="1:11" ht="47.25" x14ac:dyDescent="0.25">
      <c r="A706" s="1" t="str">
        <f>"29/2013"</f>
        <v>29/2013</v>
      </c>
      <c r="B706" s="1" t="s">
        <v>14</v>
      </c>
      <c r="C706" s="1" t="s">
        <v>2005</v>
      </c>
      <c r="D706" s="1" t="str">
        <f>CONCATENATE("2917-2012-EMV",CHAR(10),"2012/S 002-0094280 od 24.12.2012.")</f>
        <v>2917-2012-EMV
2012/S 002-0094280 od 24.12.2012.</v>
      </c>
      <c r="E706" s="1" t="s">
        <v>15</v>
      </c>
      <c r="F706" s="1" t="str">
        <f>"988.747,00"</f>
        <v>988.747,00</v>
      </c>
      <c r="G706" s="1" t="str">
        <f>CONCATENATE("23.01.2013.",CHAR(10),"30 dana")</f>
        <v>23.01.2013.
30 dana</v>
      </c>
      <c r="H706" s="1" t="str">
        <f>CONCATENATE("COMPUTECH D.O.O., ZAGREB")</f>
        <v>COMPUTECH D.O.O., ZAGREB</v>
      </c>
      <c r="I706" s="1" t="s">
        <v>322</v>
      </c>
      <c r="J706" s="1" t="str">
        <f>SUBSTITUTE(SUBSTITUTE(SUBSTITUTE("1,235,933.75",".","-"),",","."),"-",",")</f>
        <v>1.235.933,75</v>
      </c>
      <c r="K706" s="2"/>
    </row>
    <row r="707" spans="1:11" ht="47.25" x14ac:dyDescent="0.25">
      <c r="A707" s="1" t="str">
        <f>"30/2013"</f>
        <v>30/2013</v>
      </c>
      <c r="B707" s="1" t="s">
        <v>14</v>
      </c>
      <c r="C707" s="1" t="s">
        <v>2006</v>
      </c>
      <c r="D707" s="1" t="str">
        <f>CONCATENATE("3180-2012-EMV",CHAR(10),"2012/S 002-0087107 od 03.12.2012.")</f>
        <v>3180-2012-EMV
2012/S 002-0087107 od 03.12.2012.</v>
      </c>
      <c r="E707" s="1" t="s">
        <v>15</v>
      </c>
      <c r="F707" s="1" t="str">
        <f>"668.663,66"</f>
        <v>668.663,66</v>
      </c>
      <c r="G707" s="1" t="str">
        <f>CONCATENATE("18.01.2013.",CHAR(10)," 30 dana")</f>
        <v>18.01.2013.
 30 dana</v>
      </c>
      <c r="H707" s="1" t="str">
        <f>CONCATENATE("SPEKTAR GRADNJA D.O.O., ZAGREB")</f>
        <v>SPEKTAR GRADNJA D.O.O., ZAGREB</v>
      </c>
      <c r="I707" s="1" t="s">
        <v>258</v>
      </c>
      <c r="J707" s="1" t="str">
        <f>SUBSTITUTE(SUBSTITUTE(SUBSTITUTE("835,819.85",".","-"),",","."),"-",",")</f>
        <v>835.819,85</v>
      </c>
      <c r="K707" s="2"/>
    </row>
    <row r="708" spans="1:11" ht="78.75" x14ac:dyDescent="0.25">
      <c r="A708" s="1" t="str">
        <f>"31/2013"</f>
        <v>31/2013</v>
      </c>
      <c r="B708" s="1" t="s">
        <v>14</v>
      </c>
      <c r="C708" s="1" t="s">
        <v>2007</v>
      </c>
      <c r="D708" s="1" t="str">
        <f>CONCATENATE("2485-2012-EMV",CHAR(10),"2012/S 002-0066122 od 03.10.2012.")</f>
        <v>2485-2012-EMV
2012/S 002-0066122 od 03.10.2012.</v>
      </c>
      <c r="E708" s="1" t="s">
        <v>15</v>
      </c>
      <c r="F708" s="1" t="str">
        <f>"45.900,00"</f>
        <v>45.900,00</v>
      </c>
      <c r="G708" s="1" t="str">
        <f>CONCATENATE("24.01.2013.",CHAR(10),"180 dana")</f>
        <v>24.01.2013.
180 dana</v>
      </c>
      <c r="H708" s="1" t="str">
        <f>CONCATENATE("PGT ŠKUNCA D.O.O., ZAGREB-SUSEDGRAD",CHAR(10),"GEODATA PROJEKT D.O.O., ZAGREB")</f>
        <v>PGT ŠKUNCA D.O.O., ZAGREB-SUSEDGRAD
GEODATA PROJEKT D.O.O., ZAGREB</v>
      </c>
      <c r="I708" s="1" t="s">
        <v>287</v>
      </c>
      <c r="J708" s="1" t="str">
        <f>SUBSTITUTE(SUBSTITUTE(SUBSTITUTE("57,375.00",".","-"),",","."),"-",",")</f>
        <v>57.375,00</v>
      </c>
      <c r="K708" s="2"/>
    </row>
    <row r="709" spans="1:11" ht="47.25" x14ac:dyDescent="0.25">
      <c r="A709" s="1" t="str">
        <f>"32/2013"</f>
        <v>32/2013</v>
      </c>
      <c r="B709" s="1" t="s">
        <v>14</v>
      </c>
      <c r="C709" s="1" t="s">
        <v>2008</v>
      </c>
      <c r="D709" s="1" t="str">
        <f>CONCATENATE("2529-2012-EMV",CHAR(10),"2012/S 002-0071871 od 19.10.2012.")</f>
        <v>2529-2012-EMV
2012/S 002-0071871 od 19.10.2012.</v>
      </c>
      <c r="E709" s="1" t="s">
        <v>15</v>
      </c>
      <c r="F709" s="1" t="str">
        <f>"999.669,30"</f>
        <v>999.669,30</v>
      </c>
      <c r="G709" s="1" t="str">
        <f>CONCATENATE("24.01.2013.",CHAR(10),"55 dana")</f>
        <v>24.01.2013.
55 dana</v>
      </c>
      <c r="H709" s="1" t="str">
        <f>CONCATENATE("GIP PIONIR D.O.O., ZAGREB",CHAR(10),"MGV D.O.O., ZAGREB",CHAR(10),"ELKOOP D.O.O., ZAGREB")</f>
        <v>GIP PIONIR D.O.O., ZAGREB
MGV D.O.O., ZAGREB
ELKOOP D.O.O., ZAGREB</v>
      </c>
      <c r="I709" s="1" t="s">
        <v>323</v>
      </c>
      <c r="J709" s="1" t="str">
        <f>SUBSTITUTE(SUBSTITUTE(SUBSTITUTE("1,248,685.25",".","-"),",","."),"-",",")</f>
        <v>1.248.685,25</v>
      </c>
      <c r="K709" s="2"/>
    </row>
    <row r="710" spans="1:11" ht="47.25" x14ac:dyDescent="0.25">
      <c r="A710" s="1" t="str">
        <f>"33/2013"</f>
        <v>33/2013</v>
      </c>
      <c r="B710" s="1" t="s">
        <v>14</v>
      </c>
      <c r="C710" s="1" t="s">
        <v>2009</v>
      </c>
      <c r="D710" s="1" t="str">
        <f>CONCATENATE("2547-2012-EMV",CHAR(10),"2012/S 002-0063573 od 25.09.2013.")</f>
        <v>2547-2012-EMV
2012/S 002-0063573 od 25.09.2013.</v>
      </c>
      <c r="E710" s="1" t="s">
        <v>15</v>
      </c>
      <c r="F710" s="1" t="str">
        <f>"1.101.560,68"</f>
        <v>1.101.560,68</v>
      </c>
      <c r="G710" s="1" t="str">
        <f>CONCATENATE("24.01.2013.",CHAR(10),"45 dana")</f>
        <v>24.01.2013.
45 dana</v>
      </c>
      <c r="H710" s="1" t="str">
        <f>CONCATENATE("CESTA - VARAŽDIN, VARAŽDIN",CHAR(10),"AQUATEHNIKA D.O.O., VARAŽDIN")</f>
        <v>CESTA - VARAŽDIN, VARAŽDIN
AQUATEHNIKA D.O.O., VARAŽDIN</v>
      </c>
      <c r="I710" s="1" t="s">
        <v>324</v>
      </c>
      <c r="J710" s="1" t="str">
        <f>SUBSTITUTE(SUBSTITUTE(SUBSTITUTE("942,947.93",".","-"),",","."),"-",",")</f>
        <v>942.947,93</v>
      </c>
      <c r="K710" s="2"/>
    </row>
    <row r="711" spans="1:11" ht="47.25" x14ac:dyDescent="0.25">
      <c r="A711" s="1" t="str">
        <f>"34/2013"</f>
        <v>34/2013</v>
      </c>
      <c r="B711" s="1" t="s">
        <v>14</v>
      </c>
      <c r="C711" s="1" t="s">
        <v>2010</v>
      </c>
      <c r="D711" s="1" t="str">
        <f>CONCATENATE("2759-2012-EMV",CHAR(10),"2012/S 002-0082225 od 21.11.2012.")</f>
        <v>2759-2012-EMV
2012/S 002-0082225 od 21.11.2012.</v>
      </c>
      <c r="E711" s="1" t="s">
        <v>15</v>
      </c>
      <c r="F711" s="1" t="str">
        <f>"87.425,00"</f>
        <v>87.425,00</v>
      </c>
      <c r="G711" s="1" t="str">
        <f>CONCATENATE("24.01.2013.",CHAR(10),"12 mjeseci")</f>
        <v>24.01.2013.
12 mjeseci</v>
      </c>
      <c r="H711" s="1" t="str">
        <f>CONCATENATE("MT - ING D.O.O., ZAGREB")</f>
        <v>MT - ING D.O.O., ZAGREB</v>
      </c>
      <c r="I711" s="1" t="s">
        <v>325</v>
      </c>
      <c r="J711" s="1" t="str">
        <f>SUBSTITUTE(SUBSTITUTE(SUBSTITUTE("94,802.98",".","-"),",","."),"-",",")</f>
        <v>94.802,98</v>
      </c>
      <c r="K711" s="2"/>
    </row>
    <row r="712" spans="1:11" ht="63" x14ac:dyDescent="0.25">
      <c r="A712" s="1" t="str">
        <f>"35/2013"</f>
        <v>35/2013</v>
      </c>
      <c r="B712" s="1" t="s">
        <v>14</v>
      </c>
      <c r="C712" s="1" t="s">
        <v>2011</v>
      </c>
      <c r="D712" s="1" t="str">
        <f>CONCATENATE("2504-2012-EMV",CHAR(10),"2012/S 002-0073379 od 24.10.2012.")</f>
        <v>2504-2012-EMV
2012/S 002-0073379 od 24.10.2012.</v>
      </c>
      <c r="E712" s="1" t="s">
        <v>15</v>
      </c>
      <c r="F712" s="1" t="str">
        <f>"45.200,00"</f>
        <v>45.200,00</v>
      </c>
      <c r="G712" s="1" t="str">
        <f>CONCATENATE("25.01.2013.",CHAR(10),"30 dana")</f>
        <v>25.01.2013.
30 dana</v>
      </c>
      <c r="H712" s="1" t="str">
        <f>CONCATENATE("HIDROELEKTRA-PROJEKT D.O.O., ZAGREB")</f>
        <v>HIDROELEKTRA-PROJEKT D.O.O., ZAGREB</v>
      </c>
      <c r="I712" s="2"/>
      <c r="J712" s="1"/>
      <c r="K712" s="2"/>
    </row>
    <row r="713" spans="1:11" ht="47.25" x14ac:dyDescent="0.25">
      <c r="A713" s="1" t="str">
        <f>"36/2013"</f>
        <v>36/2013</v>
      </c>
      <c r="B713" s="1" t="s">
        <v>14</v>
      </c>
      <c r="C713" s="1" t="s">
        <v>2012</v>
      </c>
      <c r="D713" s="1" t="str">
        <f>CONCATENATE("2436-2012-EMV",CHAR(10),"2012/S 002-0075690 od 31.10.2012.")</f>
        <v>2436-2012-EMV
2012/S 002-0075690 od 31.10.2012.</v>
      </c>
      <c r="E713" s="1" t="s">
        <v>15</v>
      </c>
      <c r="F713" s="1" t="str">
        <f>"164.392,00"</f>
        <v>164.392,00</v>
      </c>
      <c r="G713" s="1" t="str">
        <f>CONCATENATE("28.01.2013.",CHAR(10),"tijekom 12 mjeseci")</f>
        <v>28.01.2013.
tijekom 12 mjeseci</v>
      </c>
      <c r="H713" s="1" t="str">
        <f>CONCATENATE("MEGA MONT D.O.O., MATULJI")</f>
        <v>MEGA MONT D.O.O., MATULJI</v>
      </c>
      <c r="I713" s="2"/>
      <c r="J713" s="1"/>
      <c r="K713" s="2"/>
    </row>
    <row r="714" spans="1:11" ht="47.25" x14ac:dyDescent="0.25">
      <c r="A714" s="1" t="str">
        <f>"37/2013"</f>
        <v>37/2013</v>
      </c>
      <c r="B714" s="1" t="s">
        <v>14</v>
      </c>
      <c r="C714" s="1" t="s">
        <v>2013</v>
      </c>
      <c r="D714" s="1" t="str">
        <f>CONCATENATE("2554-2012-EMV",CHAR(10),"2012/S 002-0076919 od 06.11.2012.")</f>
        <v>2554-2012-EMV
2012/S 002-0076919 od 06.11.2012.</v>
      </c>
      <c r="E714" s="1" t="s">
        <v>15</v>
      </c>
      <c r="F714" s="1" t="str">
        <f>"788.381,55"</f>
        <v>788.381,55</v>
      </c>
      <c r="G714" s="1" t="str">
        <f>CONCATENATE("28.01.2013.",CHAR(10),"40 dana")</f>
        <v>28.01.2013.
40 dana</v>
      </c>
      <c r="H714" s="1" t="str">
        <f>CONCATENATE("P.G.P. D.O.O., ZAGREB",CHAR(10),"JURČIĆ INVEST D.O.O., ZAGREB")</f>
        <v>P.G.P. D.O.O., ZAGREB
JURČIĆ INVEST D.O.O., ZAGREB</v>
      </c>
      <c r="I714" s="2"/>
      <c r="J714" s="1"/>
      <c r="K714" s="2"/>
    </row>
    <row r="715" spans="1:11" ht="47.25" x14ac:dyDescent="0.25">
      <c r="A715" s="1" t="str">
        <f>"38/2013"</f>
        <v>38/2013</v>
      </c>
      <c r="B715" s="1" t="s">
        <v>14</v>
      </c>
      <c r="C715" s="1" t="s">
        <v>2014</v>
      </c>
      <c r="D715" s="1" t="str">
        <f>CONCATENATE("2595-2012-EMV",CHAR(10),"2012/S 002-005323 od 28.08.2012.")</f>
        <v>2595-2012-EMV
2012/S 002-005323 od 28.08.2012.</v>
      </c>
      <c r="E715" s="1" t="s">
        <v>15</v>
      </c>
      <c r="F715" s="1" t="str">
        <f>"123.650,40"</f>
        <v>123.650,40</v>
      </c>
      <c r="G715" s="1" t="str">
        <f>CONCATENATE("28.01.2013.",CHAR(10),"2 mjeseca")</f>
        <v>28.01.2013.
2 mjeseca</v>
      </c>
      <c r="H715" s="1" t="str">
        <f>CONCATENATE("ELEKTROCENTAR PETEK D.O.O., IVANIĆ-GRAD",CHAR(10),"GEO-RAD D.O.O., DRAŽICE")</f>
        <v>ELEKTROCENTAR PETEK D.O.O., IVANIĆ-GRAD
GEO-RAD D.O.O., DRAŽICE</v>
      </c>
      <c r="I715" s="2"/>
      <c r="J715" s="1"/>
      <c r="K715" s="2"/>
    </row>
    <row r="716" spans="1:11" ht="47.25" x14ac:dyDescent="0.25">
      <c r="A716" s="1" t="str">
        <f>"39/2013"</f>
        <v>39/2013</v>
      </c>
      <c r="B716" s="1" t="s">
        <v>14</v>
      </c>
      <c r="C716" s="1" t="s">
        <v>2015</v>
      </c>
      <c r="D716" s="1" t="str">
        <f>CONCATENATE("4-2012-EMV",CHAR(10),"2012/S 002-0070940 od 17.10.2012.")</f>
        <v>4-2012-EMV
2012/S 002-0070940 od 17.10.2012.</v>
      </c>
      <c r="E716" s="1" t="s">
        <v>15</v>
      </c>
      <c r="F716" s="1" t="str">
        <f>"92.590,00"</f>
        <v>92.590,00</v>
      </c>
      <c r="G716" s="1" t="str">
        <f>CONCATENATE("28.01.2013.",CHAR(10),"do konačnog izvršenja usluge")</f>
        <v>28.01.2013.
do konačnog izvršenja usluge</v>
      </c>
      <c r="H716" s="1" t="str">
        <f>CONCATENATE("AUTOTURIST SAMOBOR D.O.O., SAMOBOR")</f>
        <v>AUTOTURIST SAMOBOR D.O.O., SAMOBOR</v>
      </c>
      <c r="I716" s="2"/>
      <c r="J716" s="1"/>
      <c r="K716" s="2"/>
    </row>
    <row r="717" spans="1:11" ht="94.5" x14ac:dyDescent="0.25">
      <c r="A717" s="1" t="str">
        <f>"40/2013"</f>
        <v>40/2013</v>
      </c>
      <c r="B717" s="1" t="s">
        <v>14</v>
      </c>
      <c r="C717" s="1" t="s">
        <v>2016</v>
      </c>
      <c r="D717" s="1" t="str">
        <f>CONCATENATE("2853-2012-EMV",CHAR(10),"2012/S 002-0075559;ispravak broja objave 2012/S 014-0085839 od 29.11.2012. od 31.10.2012.")</f>
        <v>2853-2012-EMV
2012/S 002-0075559;ispravak broja objave 2012/S 014-0085839 od 29.11.2012. od 31.10.2012.</v>
      </c>
      <c r="E717" s="1" t="s">
        <v>15</v>
      </c>
      <c r="F717" s="1" t="str">
        <f>"323.365,00"</f>
        <v>323.365,00</v>
      </c>
      <c r="G717" s="1" t="str">
        <f>CONCATENATE("29.01.2013.",CHAR(10),"15 dana")</f>
        <v>29.01.2013.
15 dana</v>
      </c>
      <c r="H717" s="1" t="str">
        <f>CONCATENATE("OGANJ D.O.O., ZAGREB")</f>
        <v>OGANJ D.O.O., ZAGREB</v>
      </c>
      <c r="I717" s="1" t="s">
        <v>32</v>
      </c>
      <c r="J717" s="1" t="str">
        <f>SUBSTITUTE(SUBSTITUTE(SUBSTITUTE("404,206.25",".","-"),",","."),"-",",")</f>
        <v>404.206,25</v>
      </c>
      <c r="K717" s="2"/>
    </row>
    <row r="718" spans="1:11" ht="63" x14ac:dyDescent="0.25">
      <c r="A718" s="1" t="str">
        <f>"41/2013"</f>
        <v>41/2013</v>
      </c>
      <c r="B718" s="1" t="s">
        <v>14</v>
      </c>
      <c r="C718" s="1" t="s">
        <v>2017</v>
      </c>
      <c r="D718" s="1" t="str">
        <f>CONCATENATE("751-2012-EMV",CHAR(10),"2012/S 002-0020559 od 17.05.2012.")</f>
        <v>751-2012-EMV
2012/S 002-0020559 od 17.05.2012.</v>
      </c>
      <c r="E718" s="1" t="s">
        <v>15</v>
      </c>
      <c r="F718" s="1" t="str">
        <f>"585.420,25"</f>
        <v>585.420,25</v>
      </c>
      <c r="G718" s="1" t="str">
        <f>CONCATENATE("29.01.2013.",CHAR(10),"12 mjeseci")</f>
        <v>29.01.2013.
12 mjeseci</v>
      </c>
      <c r="H718" s="1" t="str">
        <f>CONCATENATE("GRADNJAPROJEKT- ZAGREB D.O.O., ZAGREB",CHAR(10),"LJEVAONICA UMJETNINA ALU D.O.O., ZAGREB")</f>
        <v>GRADNJAPROJEKT- ZAGREB D.O.O., ZAGREB
LJEVAONICA UMJETNINA ALU D.O.O., ZAGREB</v>
      </c>
      <c r="I718" s="2"/>
      <c r="J718" s="1"/>
      <c r="K718" s="2"/>
    </row>
    <row r="719" spans="1:11" ht="47.25" x14ac:dyDescent="0.25">
      <c r="A719" s="1" t="str">
        <f>"A-10/2013"</f>
        <v>A-10/2013</v>
      </c>
      <c r="B719" s="1" t="s">
        <v>11</v>
      </c>
      <c r="C719" s="1" t="s">
        <v>2018</v>
      </c>
      <c r="D719" s="1" t="str">
        <f>"447-2012-EMV"</f>
        <v>447-2012-EMV</v>
      </c>
      <c r="E719" s="2"/>
      <c r="F719" s="1" t="str">
        <f>"0,00"</f>
        <v>0,00</v>
      </c>
      <c r="G719" s="1" t="str">
        <f>CONCATENATE("29.01.2013.",CHAR(10),"17.02.2013.")</f>
        <v>29.01.2013.
17.02.2013.</v>
      </c>
      <c r="H719" s="1" t="str">
        <f>CONCATENATE("DIDACTA D.O.O., SLAVONSKI BROD")</f>
        <v>DIDACTA D.O.O., SLAVONSKI BROD</v>
      </c>
      <c r="I719" s="2"/>
      <c r="J719" s="1"/>
      <c r="K719" s="2"/>
    </row>
    <row r="720" spans="1:11" ht="78.75" x14ac:dyDescent="0.25">
      <c r="A720" s="1" t="str">
        <f>"42/2013"</f>
        <v>42/2013</v>
      </c>
      <c r="B720" s="1" t="s">
        <v>14</v>
      </c>
      <c r="C720" s="1" t="s">
        <v>2019</v>
      </c>
      <c r="D720" s="1" t="str">
        <f>CONCATENATE("14-2012-EMV",CHAR(10),"2012/S 002-0079192 od 12.11.2012.")</f>
        <v>14-2012-EMV
2012/S 002-0079192 od 12.11.2012.</v>
      </c>
      <c r="E720" s="1" t="s">
        <v>15</v>
      </c>
      <c r="F720" s="1" t="str">
        <f>"188.196,00"</f>
        <v>188.196,00</v>
      </c>
      <c r="G720" s="1" t="str">
        <f>CONCATENATE("29.01.2013.",CHAR(10),"sukcesivno, prema potrebama naručitelja od dana sklapanja Ug. do realizacije planiranih sredstava")</f>
        <v>29.01.2013.
sukcesivno, prema potrebama naručitelja od dana sklapanja Ug. do realizacije planiranih sredstava</v>
      </c>
      <c r="H720" s="1" t="str">
        <f>CONCATENATE("ZAGREBAČKI HOLDING D.O.O., PODRUŽNICA ZRINJEVAC, ZAGREB")</f>
        <v>ZAGREBAČKI HOLDING D.O.O., PODRUŽNICA ZRINJEVAC, ZAGREB</v>
      </c>
      <c r="I720" s="2"/>
      <c r="J720" s="1"/>
      <c r="K720" s="2"/>
    </row>
    <row r="721" spans="1:11" ht="78.75" x14ac:dyDescent="0.25">
      <c r="A721" s="1" t="str">
        <f>"43/2013"</f>
        <v>43/2013</v>
      </c>
      <c r="B721" s="1" t="s">
        <v>14</v>
      </c>
      <c r="C721" s="1" t="s">
        <v>2020</v>
      </c>
      <c r="D721" s="1" t="str">
        <f>CONCATENATE("2873-2012-EMV",CHAR(10),"2012/S 002-0082225 od 21.11.2012.")</f>
        <v>2873-2012-EMV
2012/S 002-0082225 od 21.11.2012.</v>
      </c>
      <c r="E721" s="1" t="s">
        <v>12</v>
      </c>
      <c r="F721" s="1" t="str">
        <f>"244.255,00"</f>
        <v>244.255,00</v>
      </c>
      <c r="G721" s="1" t="str">
        <f>CONCATENATE("29.01.2013.",CHAR(10),"60 dana")</f>
        <v>29.01.2013.
60 dana</v>
      </c>
      <c r="H721" s="1" t="str">
        <f>CONCATENATE("HM-PATRIA D.O.O., ZAGREB",CHAR(10),"BEMING D.O.O., ZAGREB",CHAR(10),"TEHNOPLAM D.O.O., ZAGREB",CHAR(10),"GRAĐEVINSKI LABORATORIJ D.O.O., ZAGREB")</f>
        <v>HM-PATRIA D.O.O., ZAGREB
BEMING D.O.O., ZAGREB
TEHNOPLAM D.O.O., ZAGREB
GRAĐEVINSKI LABORATORIJ D.O.O., ZAGREB</v>
      </c>
      <c r="I721" s="1" t="s">
        <v>326</v>
      </c>
      <c r="J721" s="1" t="str">
        <f>SUBSTITUTE(SUBSTITUTE(SUBSTITUTE("305,318.75",".","-"),",","."),"-",",")</f>
        <v>305.318,75</v>
      </c>
      <c r="K721" s="2"/>
    </row>
    <row r="722" spans="1:11" ht="94.5" x14ac:dyDescent="0.25">
      <c r="A722" s="1" t="str">
        <f>"44/2013"</f>
        <v>44/2013</v>
      </c>
      <c r="B722" s="1" t="s">
        <v>14</v>
      </c>
      <c r="C722" s="1" t="s">
        <v>2021</v>
      </c>
      <c r="D722" s="1" t="str">
        <f>CONCATENATE("2859-2012-EMV",CHAR(10),"2013/S 015-0000225 od 03.01.2013.")</f>
        <v>2859-2012-EMV
2013/S 015-0000225 od 03.01.2013.</v>
      </c>
      <c r="E722" s="1" t="s">
        <v>12</v>
      </c>
      <c r="F722" s="1" t="str">
        <f>"1.351.313,04"</f>
        <v>1.351.313,04</v>
      </c>
      <c r="G722" s="1" t="str">
        <f>CONCATENATE("29.01.2013.",CHAR(10),"30 dana")</f>
        <v>29.01.2013.
30 dana</v>
      </c>
      <c r="H722" s="1" t="str">
        <f>CONCATENATE("HIDROCOMMERCE D.O.O., GORNJI STUPNIK")</f>
        <v>HIDROCOMMERCE D.O.O., GORNJI STUPNIK</v>
      </c>
      <c r="I722" s="1" t="s">
        <v>268</v>
      </c>
      <c r="J722" s="1" t="str">
        <f>SUBSTITUTE(SUBSTITUTE(SUBSTITUTE("1,689,141.30",".","-"),",","."),"-",",")</f>
        <v>1.689.141,30</v>
      </c>
      <c r="K722" s="2"/>
    </row>
    <row r="723" spans="1:11" ht="47.25" x14ac:dyDescent="0.25">
      <c r="A723" s="1" t="str">
        <f>"45/2013"</f>
        <v>45/2013</v>
      </c>
      <c r="B723" s="1" t="s">
        <v>14</v>
      </c>
      <c r="C723" s="1" t="s">
        <v>2022</v>
      </c>
      <c r="D723" s="1" t="str">
        <f>CONCATENATE("2863-2012-EMV",CHAR(10),"2012/S 002-0082654 od 21.11.2012.")</f>
        <v>2863-2012-EMV
2012/S 002-0082654 od 21.11.2012.</v>
      </c>
      <c r="E723" s="1" t="s">
        <v>15</v>
      </c>
      <c r="F723" s="1" t="str">
        <f>"229.945,35"</f>
        <v>229.945,35</v>
      </c>
      <c r="G723" s="1" t="str">
        <f>CONCATENATE("30.01.2013.",CHAR(10)," 30 dana")</f>
        <v>30.01.2013.
 30 dana</v>
      </c>
      <c r="H723" s="1" t="str">
        <f>CONCATENATE("M. SOLDO D.O.O., ZAGREB",CHAR(10),"GEOGIS D.O.O., ZAGREB",CHAR(10),"LIPA L.P. D.O.O., ZAGREB")</f>
        <v>M. SOLDO D.O.O., ZAGREB
GEOGIS D.O.O., ZAGREB
LIPA L.P. D.O.O., ZAGREB</v>
      </c>
      <c r="I723" s="1" t="s">
        <v>98</v>
      </c>
      <c r="J723" s="1" t="str">
        <f>SUBSTITUTE(SUBSTITUTE(SUBSTITUTE("287,371.79",".","-"),",","."),"-",",")</f>
        <v>287.371,79</v>
      </c>
      <c r="K723" s="2"/>
    </row>
    <row r="724" spans="1:11" ht="31.5" x14ac:dyDescent="0.25">
      <c r="A724" s="1" t="str">
        <f>"A-11/2013"</f>
        <v>A-11/2013</v>
      </c>
      <c r="B724" s="1" t="s">
        <v>11</v>
      </c>
      <c r="C724" s="1" t="s">
        <v>1517</v>
      </c>
      <c r="D724" s="1" t="str">
        <f>"EV-146-012/2011"</f>
        <v>EV-146-012/2011</v>
      </c>
      <c r="E724" s="2"/>
      <c r="F724" s="1" t="str">
        <f>"0,00"</f>
        <v>0,00</v>
      </c>
      <c r="G724" s="1" t="str">
        <f>CONCATENATE("30.01.2013.",CHAR(10)," 31.08.2013.")</f>
        <v>30.01.2013.
 31.08.2013.</v>
      </c>
      <c r="H724" s="1" t="str">
        <f>CONCATENATE("GEORAD D.O.O., ZAGREB")</f>
        <v>GEORAD D.O.O., ZAGREB</v>
      </c>
      <c r="I724" s="2"/>
      <c r="J724" s="1"/>
      <c r="K724" s="2"/>
    </row>
    <row r="725" spans="1:11" ht="47.25" x14ac:dyDescent="0.25">
      <c r="A725" s="1" t="str">
        <f>"46/2013"</f>
        <v>46/2013</v>
      </c>
      <c r="B725" s="1" t="s">
        <v>14</v>
      </c>
      <c r="C725" s="1" t="s">
        <v>2023</v>
      </c>
      <c r="D725" s="1" t="str">
        <f>CONCATENATE("2758-2012-EMV",CHAR(10),"2012/S 002-0080341 od 15.11.2012.")</f>
        <v>2758-2012-EMV
2012/S 002-0080341 od 15.11.2012.</v>
      </c>
      <c r="E725" s="1" t="s">
        <v>15</v>
      </c>
      <c r="F725" s="1" t="str">
        <f>"69.750,00"</f>
        <v>69.750,00</v>
      </c>
      <c r="G725" s="1" t="str">
        <f>CONCATENATE("30.01.2013.",CHAR(10),"12 mjeseci")</f>
        <v>30.01.2013.
12 mjeseci</v>
      </c>
      <c r="H725" s="1" t="str">
        <f>CONCATENATE("PRIMAT -  RD D.O.O., HRVATSKI LESKOVAC")</f>
        <v>PRIMAT -  RD D.O.O., HRVATSKI LESKOVAC</v>
      </c>
      <c r="I725" s="1" t="s">
        <v>327</v>
      </c>
      <c r="J725" s="1" t="str">
        <f>SUBSTITUTE(SUBSTITUTE(SUBSTITUTE("87,187.50",".","-"),",","."),"-",",")</f>
        <v>87.187,50</v>
      </c>
      <c r="K725" s="2"/>
    </row>
    <row r="726" spans="1:11" ht="47.25" x14ac:dyDescent="0.25">
      <c r="A726" s="1" t="str">
        <f>"47/2013"</f>
        <v>47/2013</v>
      </c>
      <c r="B726" s="1" t="s">
        <v>14</v>
      </c>
      <c r="C726" s="1" t="s">
        <v>2024</v>
      </c>
      <c r="D726" s="1" t="str">
        <f>CONCATENATE("2438-2012-EMV",CHAR(10),"2012/S-002-0047291 od 02.08.2012.")</f>
        <v>2438-2012-EMV
2012/S-002-0047291 od 02.08.2012.</v>
      </c>
      <c r="E726" s="1" t="s">
        <v>15</v>
      </c>
      <c r="F726" s="1" t="str">
        <f>"2.748.620,00"</f>
        <v>2.748.620,00</v>
      </c>
      <c r="G726" s="1" t="str">
        <f>CONCATENATE("30.01.2013.",CHAR(10),"12 mjeseci")</f>
        <v>30.01.2013.
12 mjeseci</v>
      </c>
      <c r="H726" s="1" t="str">
        <f>CONCATENATE("CARIN D.O.O., ZAGREB",CHAR(10),"HIDROSTRES D.O.O., ZAGREB")</f>
        <v>CARIN D.O.O., ZAGREB
HIDROSTRES D.O.O., ZAGREB</v>
      </c>
      <c r="I726" s="1" t="s">
        <v>297</v>
      </c>
      <c r="J726" s="1" t="str">
        <f>SUBSTITUTE(SUBSTITUTE(SUBSTITUTE("3,334,963.75",".","-"),",","."),"-",",")</f>
        <v>3.334.963,75</v>
      </c>
      <c r="K726" s="2"/>
    </row>
    <row r="727" spans="1:11" ht="31.5" x14ac:dyDescent="0.25">
      <c r="A727" s="1" t="str">
        <f>"R-3/2013"</f>
        <v>R-3/2013</v>
      </c>
      <c r="B727" s="1" t="s">
        <v>56</v>
      </c>
      <c r="C727" s="1" t="s">
        <v>1504</v>
      </c>
      <c r="D727" s="1" t="str">
        <f>"EM-785-012/2011"</f>
        <v>EM-785-012/2011</v>
      </c>
      <c r="E727" s="2"/>
      <c r="F727" s="1" t="str">
        <f>"0,00"</f>
        <v>0,00</v>
      </c>
      <c r="G727" s="1" t="str">
        <f>"30.01.2013."</f>
        <v>30.01.2013.</v>
      </c>
      <c r="H727" s="1" t="str">
        <f>CONCATENATE("M. SOLDO D.O.O., ZAGREB",CHAR(10),"GEOGIS D.O.O., ZAGREB")</f>
        <v>M. SOLDO D.O.O., ZAGREB
GEOGIS D.O.O., ZAGREB</v>
      </c>
      <c r="I727" s="2"/>
      <c r="J727" s="1"/>
      <c r="K727" s="2"/>
    </row>
    <row r="728" spans="1:11" ht="47.25" x14ac:dyDescent="0.25">
      <c r="A728" s="1" t="str">
        <f>"48/2013"</f>
        <v>48/2013</v>
      </c>
      <c r="B728" s="1" t="s">
        <v>14</v>
      </c>
      <c r="C728" s="1" t="s">
        <v>2025</v>
      </c>
      <c r="D728" s="1" t="str">
        <f>CONCATENATE("2762-2012-EMV",CHAR(10),"2012/S 002-0074325 od 26.10.2012.")</f>
        <v>2762-2012-EMV
2012/S 002-0074325 od 26.10.2012.</v>
      </c>
      <c r="E728" s="1" t="s">
        <v>15</v>
      </c>
      <c r="F728" s="1" t="str">
        <f>"694.892,00"</f>
        <v>694.892,00</v>
      </c>
      <c r="G728" s="1" t="str">
        <f>CONCATENATE("30.01.2013.",CHAR(10)," 60 dana")</f>
        <v>30.01.2013.
 60 dana</v>
      </c>
      <c r="H728" s="1" t="str">
        <f>CONCATENATE("DELTRON D.O.O., SPLIT")</f>
        <v>DELTRON D.O.O., SPLIT</v>
      </c>
      <c r="I728" s="1" t="s">
        <v>137</v>
      </c>
      <c r="J728" s="1" t="str">
        <f>SUBSTITUTE(SUBSTITUTE(SUBSTITUTE("673,881.25",".","-"),",","."),"-",",")</f>
        <v>673.881,25</v>
      </c>
      <c r="K728" s="2"/>
    </row>
    <row r="729" spans="1:11" ht="47.25" x14ac:dyDescent="0.25">
      <c r="A729" s="1" t="str">
        <f>"49/2013"</f>
        <v>49/2013</v>
      </c>
      <c r="B729" s="1" t="s">
        <v>14</v>
      </c>
      <c r="C729" s="1" t="s">
        <v>2026</v>
      </c>
      <c r="D729" s="1" t="str">
        <f>CONCATENATE("1832-2012-EMV",CHAR(10),"2012/S-002-0077268 od 07.11.2012.")</f>
        <v>1832-2012-EMV
2012/S-002-0077268 od 07.11.2012.</v>
      </c>
      <c r="E729" s="1" t="s">
        <v>15</v>
      </c>
      <c r="F729" s="1" t="str">
        <f>"105.525,00"</f>
        <v>105.525,00</v>
      </c>
      <c r="G729" s="1" t="str">
        <f>CONCATENATE("30.01.2013.",CHAR(10),"20 dana")</f>
        <v>30.01.2013.
20 dana</v>
      </c>
      <c r="H729" s="1" t="str">
        <f>CONCATENATE("M. I. HRŠAK D.O.O., KRAPINA")</f>
        <v>M. I. HRŠAK D.O.O., KRAPINA</v>
      </c>
      <c r="I729" s="1" t="s">
        <v>96</v>
      </c>
      <c r="J729" s="1" t="str">
        <f>SUBSTITUTE(SUBSTITUTE(SUBSTITUTE("131,906.25",".","-"),",","."),"-",",")</f>
        <v>131.906,25</v>
      </c>
      <c r="K729" s="2"/>
    </row>
    <row r="730" spans="1:11" ht="47.25" x14ac:dyDescent="0.25">
      <c r="A730" s="1" t="str">
        <f>"50/2013"</f>
        <v>50/2013</v>
      </c>
      <c r="B730" s="1" t="s">
        <v>14</v>
      </c>
      <c r="C730" s="1" t="s">
        <v>1808</v>
      </c>
      <c r="D730" s="1" t="str">
        <f>CONCATENATE("1101-2012-EMV",CHAR(10),"2012/S 002-0075212 od 30.10.2012.")</f>
        <v>1101-2012-EMV
2012/S 002-0075212 od 30.10.2012.</v>
      </c>
      <c r="E730" s="1" t="s">
        <v>15</v>
      </c>
      <c r="F730" s="1" t="str">
        <f>"114.458,60"</f>
        <v>114.458,60</v>
      </c>
      <c r="G730" s="1" t="str">
        <f>CONCATENATE("31.01.2013.",CHAR(10),"90 dana")</f>
        <v>31.01.2013.
90 dana</v>
      </c>
      <c r="H730" s="1" t="str">
        <f>CONCATENATE("BELMET97 D.O.O., ZAGREB")</f>
        <v>BELMET97 D.O.O., ZAGREB</v>
      </c>
      <c r="I730" s="1" t="s">
        <v>328</v>
      </c>
      <c r="J730" s="1" t="str">
        <f>SUBSTITUTE(SUBSTITUTE(SUBSTITUTE("143,073.25",".","-"),",","."),"-",",")</f>
        <v>143.073,25</v>
      </c>
      <c r="K730" s="2"/>
    </row>
    <row r="731" spans="1:11" ht="78.75" x14ac:dyDescent="0.25">
      <c r="A731" s="1" t="str">
        <f>"51/2013"</f>
        <v>51/2013</v>
      </c>
      <c r="B731" s="1" t="s">
        <v>14</v>
      </c>
      <c r="C731" s="1" t="s">
        <v>2027</v>
      </c>
      <c r="D731" s="1" t="str">
        <f>CONCATENATE("909-2012-EMV",CHAR(10),"2012/S 002-0076202 od 02.11.2012.")</f>
        <v>909-2012-EMV
2012/S 002-0076202 od 02.11.2012.</v>
      </c>
      <c r="E731" s="1" t="s">
        <v>15</v>
      </c>
      <c r="F731" s="1" t="str">
        <f>"192.450,00"</f>
        <v>192.450,00</v>
      </c>
      <c r="G731" s="1" t="str">
        <f>CONCATENATE("31.01.2013.",CHAR(10)," 12 mjeseci")</f>
        <v>31.01.2013.
 12 mjeseci</v>
      </c>
      <c r="H731" s="1" t="str">
        <f>CONCATENATE("GRADITELJ SVRATIŠTA D.O.O., ZAGREB")</f>
        <v>GRADITELJ SVRATIŠTA D.O.O., ZAGREB</v>
      </c>
      <c r="I731" s="1" t="s">
        <v>329</v>
      </c>
      <c r="J731" s="1" t="str">
        <f>SUBSTITUTE(SUBSTITUTE(SUBSTITUTE("225,175.00",".","-"),",","."),"-",",")</f>
        <v>225.175,00</v>
      </c>
      <c r="K731" s="2"/>
    </row>
    <row r="732" spans="1:11" ht="47.25" x14ac:dyDescent="0.25">
      <c r="A732" s="1" t="str">
        <f>"52/2013"</f>
        <v>52/2013</v>
      </c>
      <c r="B732" s="1" t="s">
        <v>14</v>
      </c>
      <c r="C732" s="1" t="s">
        <v>2028</v>
      </c>
      <c r="D732" s="1" t="str">
        <f>CONCATENATE("3130-2012-EMV",CHAR(10),"2013/S 015-0003729 od 17.01.2013.")</f>
        <v>3130-2012-EMV
2013/S 015-0003729 od 17.01.2013.</v>
      </c>
      <c r="E732" s="1" t="s">
        <v>12</v>
      </c>
      <c r="F732" s="1" t="str">
        <f>"905.000,00"</f>
        <v>905.000,00</v>
      </c>
      <c r="G732" s="1" t="str">
        <f>CONCATENATE("01.02.2013.",CHAR(10)," 90 dana")</f>
        <v>01.02.2013.
 90 dana</v>
      </c>
      <c r="H732" s="1" t="str">
        <f>CONCATENATE("FORUM D.O.O., ZAGREB")</f>
        <v>FORUM D.O.O., ZAGREB</v>
      </c>
      <c r="I732" s="2"/>
      <c r="J732" s="1"/>
      <c r="K732" s="2"/>
    </row>
    <row r="733" spans="1:11" ht="78.75" x14ac:dyDescent="0.25">
      <c r="A733" s="1" t="str">
        <f>"53/2013"</f>
        <v>53/2013</v>
      </c>
      <c r="B733" s="1" t="s">
        <v>14</v>
      </c>
      <c r="C733" s="1" t="s">
        <v>2029</v>
      </c>
      <c r="D733" s="1" t="str">
        <f>CONCATENATE("1106-2012-EMV",CHAR(10),"2012/S 002-0078021 od 08.11.2012.")</f>
        <v>1106-2012-EMV
2012/S 002-0078021 od 08.11.2012.</v>
      </c>
      <c r="E733" s="1" t="s">
        <v>15</v>
      </c>
      <c r="F733" s="1" t="str">
        <f>"86.000,00"</f>
        <v>86.000,00</v>
      </c>
      <c r="G733" s="1" t="str">
        <f>CONCATENATE("01.02.2013.",CHAR(10)," 60 dana")</f>
        <v>01.02.2013.
 60 dana</v>
      </c>
      <c r="H733" s="1" t="str">
        <f>CONCATENATE("PROING D.O.O., ZAGREB")</f>
        <v>PROING D.O.O., ZAGREB</v>
      </c>
      <c r="I733" s="1" t="s">
        <v>239</v>
      </c>
      <c r="J733" s="1" t="str">
        <f>SUBSTITUTE(SUBSTITUTE(SUBSTITUTE("107,500.00",".","-"),",","."),"-",",")</f>
        <v>107.500,00</v>
      </c>
      <c r="K733" s="2"/>
    </row>
    <row r="734" spans="1:11" ht="47.25" x14ac:dyDescent="0.25">
      <c r="A734" s="1" t="str">
        <f>"54/2013"</f>
        <v>54/2013</v>
      </c>
      <c r="B734" s="1" t="s">
        <v>14</v>
      </c>
      <c r="C734" s="1" t="s">
        <v>2030</v>
      </c>
      <c r="D734" s="1" t="str">
        <f>CONCATENATE("419-2012-EMV",CHAR(10),"2012/S 002-0076996 od 06.11.2012.")</f>
        <v>419-2012-EMV
2012/S 002-0076996 od 06.11.2012.</v>
      </c>
      <c r="E734" s="1" t="s">
        <v>15</v>
      </c>
      <c r="F734" s="1" t="str">
        <f>"993.616,40"</f>
        <v>993.616,40</v>
      </c>
      <c r="G734" s="1" t="str">
        <f>CONCATENATE("01.02.2013.",CHAR(10),"60 dana")</f>
        <v>01.02.2013.
60 dana</v>
      </c>
      <c r="H734" s="1" t="str">
        <f>CONCATENATE("HEDOM D.O.O., ZAGREB",CHAR(10),"ITS-CONSULTING D.O.O., ZAGREB")</f>
        <v>HEDOM D.O.O., ZAGREB
ITS-CONSULTING D.O.O., ZAGREB</v>
      </c>
      <c r="I734" s="1" t="s">
        <v>327</v>
      </c>
      <c r="J734" s="1" t="str">
        <f>SUBSTITUTE(SUBSTITUTE(SUBSTITUTE("1,238,828.38",".","-"),",","."),"-",",")</f>
        <v>1.238.828,38</v>
      </c>
      <c r="K734" s="2"/>
    </row>
    <row r="735" spans="1:11" ht="63" x14ac:dyDescent="0.25">
      <c r="A735" s="1" t="str">
        <f>"A-12/2013"</f>
        <v>A-12/2013</v>
      </c>
      <c r="B735" s="1" t="s">
        <v>11</v>
      </c>
      <c r="C735" s="1" t="s">
        <v>2031</v>
      </c>
      <c r="D735" s="1" t="str">
        <f>"EM-832-009/2011"</f>
        <v>EM-832-009/2011</v>
      </c>
      <c r="E735" s="2"/>
      <c r="F735" s="1" t="str">
        <f>"0,00"</f>
        <v>0,00</v>
      </c>
      <c r="G735" s="1" t="str">
        <f>CONCATENATE("04.02.2013.",CHAR(10),"do sklapanja novog ugovora")</f>
        <v>04.02.2013.
do sklapanja novog ugovora</v>
      </c>
      <c r="H735" s="1" t="str">
        <f>CONCATENATE("ZAŠTITA-ZAGREB D.D., ZAGREB")</f>
        <v>ZAŠTITA-ZAGREB D.D., ZAGREB</v>
      </c>
      <c r="I735" s="2"/>
      <c r="J735" s="1"/>
      <c r="K735" s="2"/>
    </row>
    <row r="736" spans="1:11" ht="47.25" x14ac:dyDescent="0.25">
      <c r="A736" s="1" t="str">
        <f>"55/2013"</f>
        <v>55/2013</v>
      </c>
      <c r="B736" s="1" t="s">
        <v>14</v>
      </c>
      <c r="C736" s="1" t="s">
        <v>2032</v>
      </c>
      <c r="D736" s="1" t="str">
        <f>CONCATENATE("2001-2012-EVV",CHAR(10),"2012/S 002-0079776 od 13.11.2012.")</f>
        <v>2001-2012-EVV
2012/S 002-0079776 od 13.11.2012.</v>
      </c>
      <c r="E736" s="1" t="s">
        <v>15</v>
      </c>
      <c r="F736" s="1" t="str">
        <f>"751.900,00"</f>
        <v>751.900,00</v>
      </c>
      <c r="G736" s="1" t="str">
        <f>CONCATENATE("04.02.2013.",CHAR(10),"60 dana")</f>
        <v>04.02.2013.
60 dana</v>
      </c>
      <c r="H736" s="1" t="str">
        <f>CONCATENATE("GEOPROJEKT D.O.O., ZAGREB")</f>
        <v>GEOPROJEKT D.O.O., ZAGREB</v>
      </c>
      <c r="I736" s="2"/>
      <c r="J736" s="1"/>
      <c r="K736" s="2"/>
    </row>
    <row r="737" spans="1:11" ht="47.25" x14ac:dyDescent="0.25">
      <c r="A737" s="1" t="str">
        <f>"56/2013"</f>
        <v>56/2013</v>
      </c>
      <c r="B737" s="1" t="s">
        <v>14</v>
      </c>
      <c r="C737" s="1" t="s">
        <v>2033</v>
      </c>
      <c r="D737" s="1" t="str">
        <f>CONCATENATE("2832-2012-EMV",CHAR(10),"2012/S 002-0065065 od 28.09.2012.")</f>
        <v>2832-2012-EMV
2012/S 002-0065065 od 28.09.2012.</v>
      </c>
      <c r="E737" s="1" t="s">
        <v>15</v>
      </c>
      <c r="F737" s="1" t="str">
        <f>"122.800,00"</f>
        <v>122.800,00</v>
      </c>
      <c r="G737" s="1" t="str">
        <f>CONCATENATE("04.02.2013.",CHAR(10),"12 mjeseci")</f>
        <v>04.02.2013.
12 mjeseci</v>
      </c>
      <c r="H737" s="1" t="str">
        <f>CONCATENATE("GEOAQUA D.O.O., ZAGREB")</f>
        <v>GEOAQUA D.O.O., ZAGREB</v>
      </c>
      <c r="I737" s="2"/>
      <c r="J737" s="1"/>
      <c r="K737" s="2"/>
    </row>
    <row r="738" spans="1:11" ht="47.25" x14ac:dyDescent="0.25">
      <c r="A738" s="1" t="str">
        <f>"57/2013"</f>
        <v>57/2013</v>
      </c>
      <c r="B738" s="1" t="s">
        <v>14</v>
      </c>
      <c r="C738" s="1" t="s">
        <v>2034</v>
      </c>
      <c r="D738" s="1" t="str">
        <f>CONCATENATE("2760-2012-EMV",CHAR(10),"2012/S 002-0086658 od 05.11.2012.")</f>
        <v>2760-2012-EMV
2012/S 002-0086658 od 05.11.2012.</v>
      </c>
      <c r="E738" s="1" t="s">
        <v>15</v>
      </c>
      <c r="F738" s="1" t="str">
        <f>"878.201,42"</f>
        <v>878.201,42</v>
      </c>
      <c r="G738" s="1" t="str">
        <f>CONCATENATE("05.02.2013.",CHAR(10)," tijekom 12 mjeseci")</f>
        <v>05.02.2013.
 tijekom 12 mjeseci</v>
      </c>
      <c r="H738" s="1" t="str">
        <f>CONCATENATE("GRADITELJ SVRATIŠTA D.O.O., ZAGREB",CHAR(10),"KEMIS-TERMOCLEAN D.O.O., ZAGREB")</f>
        <v>GRADITELJ SVRATIŠTA D.O.O., ZAGREB
KEMIS-TERMOCLEAN D.O.O., ZAGREB</v>
      </c>
      <c r="I738" s="1" t="s">
        <v>330</v>
      </c>
      <c r="J738" s="1" t="str">
        <f>SUBSTITUTE(SUBSTITUTE(SUBSTITUTE("1,093,420.39",".","-"),",","."),"-",",")</f>
        <v>1.093.420,39</v>
      </c>
      <c r="K738" s="2"/>
    </row>
    <row r="739" spans="1:11" ht="252" x14ac:dyDescent="0.25">
      <c r="A739" s="1" t="str">
        <f>"A-13/2013"</f>
        <v>A-13/2013</v>
      </c>
      <c r="B739" s="1" t="s">
        <v>11</v>
      </c>
      <c r="C739" s="1" t="s">
        <v>331</v>
      </c>
      <c r="D739" s="1" t="str">
        <f>"2695-2012-EMV"</f>
        <v>2695-2012-EMV</v>
      </c>
      <c r="E739" s="2"/>
      <c r="F739" s="1" t="str">
        <f>"0,00"</f>
        <v>0,00</v>
      </c>
      <c r="G739" s="1" t="str">
        <f>CONCATENATE("05.02.2013.",CHAR(10),"30.04.2013.")</f>
        <v>05.02.2013.
30.04.2013.</v>
      </c>
      <c r="H739" s="1" t="str">
        <f>CONCATENATE("ING EKSPERT D.O.O., ZAGREB")</f>
        <v>ING EKSPERT D.O.O., ZAGREB</v>
      </c>
      <c r="I739" s="2"/>
      <c r="J739" s="1"/>
      <c r="K739" s="2"/>
    </row>
    <row r="740" spans="1:11" ht="141.75" x14ac:dyDescent="0.25">
      <c r="A740" s="1" t="str">
        <f>"A-14/2013"</f>
        <v>A-14/2013</v>
      </c>
      <c r="B740" s="1" t="s">
        <v>11</v>
      </c>
      <c r="C740" s="1" t="s">
        <v>332</v>
      </c>
      <c r="D740" s="1" t="str">
        <f>"2695-2012-EMV"</f>
        <v>2695-2012-EMV</v>
      </c>
      <c r="E740" s="2"/>
      <c r="F740" s="1" t="str">
        <f>"0,00"</f>
        <v>0,00</v>
      </c>
      <c r="G740" s="1" t="str">
        <f>CONCATENATE("05.02.2013.",CHAR(10)," 30.04.2013.")</f>
        <v>05.02.2013.
 30.04.2013.</v>
      </c>
      <c r="H740" s="1" t="str">
        <f>CONCATENATE("ING EKSPERT D.O.O., ZAGREB")</f>
        <v>ING EKSPERT D.O.O., ZAGREB</v>
      </c>
      <c r="I740" s="2"/>
      <c r="J740" s="1"/>
      <c r="K740" s="2"/>
    </row>
    <row r="741" spans="1:11" ht="78.75" x14ac:dyDescent="0.25">
      <c r="A741" s="1" t="str">
        <f>"58/2013"</f>
        <v>58/2013</v>
      </c>
      <c r="B741" s="1" t="s">
        <v>14</v>
      </c>
      <c r="C741" s="1" t="s">
        <v>2035</v>
      </c>
      <c r="D741" s="1" t="str">
        <f>CONCATENATE("439-2012-EMV",CHAR(10),"2012/S 002-0061029 od 17.09.2012.")</f>
        <v>439-2012-EMV
2012/S 002-0061029 od 17.09.2012.</v>
      </c>
      <c r="E741" s="1" t="s">
        <v>15</v>
      </c>
      <c r="F741" s="1" t="str">
        <f>"2.158.729,70"</f>
        <v>2.158.729,70</v>
      </c>
      <c r="G741" s="1" t="str">
        <f>CONCATENATE("05.02.2013.",CHAR(10),"90 dana")</f>
        <v>05.02.2013.
90 dana</v>
      </c>
      <c r="H741" s="1" t="str">
        <f>CONCATENATE("GRADITELJ SVRATIŠTA D.O.O., ZAGREB",CHAR(10),"GEOANDA D.O.O., ZAGREB",CHAR(10),"KANAL INSPEKT D.O.O., ZAGREB",CHAR(10),"ZAGREBINSPEKT D.O.O., ZAGREB")</f>
        <v>GRADITELJ SVRATIŠTA D.O.O., ZAGREB
GEOANDA D.O.O., ZAGREB
KANAL INSPEKT D.O.O., ZAGREB
ZAGREBINSPEKT D.O.O., ZAGREB</v>
      </c>
      <c r="I741" s="1" t="s">
        <v>333</v>
      </c>
      <c r="J741" s="1" t="str">
        <f>SUBSTITUTE(SUBSTITUTE(SUBSTITUTE("2,698,091.75",".","-"),",","."),"-",",")</f>
        <v>2.698.091,75</v>
      </c>
      <c r="K741" s="2"/>
    </row>
    <row r="742" spans="1:11" ht="78.75" x14ac:dyDescent="0.25">
      <c r="A742" s="1" t="str">
        <f>"59/2013"</f>
        <v>59/2013</v>
      </c>
      <c r="B742" s="1" t="s">
        <v>14</v>
      </c>
      <c r="C742" s="1" t="s">
        <v>2036</v>
      </c>
      <c r="D742" s="1" t="str">
        <f>CONCATENATE("1998-2012-EMV",CHAR(10),"2012/S 002-0079727 od 13.11.2012. te ispravak br. 2012/S 014-0086560 od 30.11.2012.")</f>
        <v>1998-2012-EMV
2012/S 002-0079727 od 13.11.2012. te ispravak br. 2012/S 014-0086560 od 30.11.2012.</v>
      </c>
      <c r="E742" s="1" t="s">
        <v>15</v>
      </c>
      <c r="F742" s="1" t="str">
        <f>"488.000,00"</f>
        <v>488.000,00</v>
      </c>
      <c r="G742" s="1" t="str">
        <f>CONCATENATE("05.02.2013.",CHAR(10),"60 dana")</f>
        <v>05.02.2013.
60 dana</v>
      </c>
      <c r="H742" s="1" t="str">
        <f>CONCATENATE("GEOPROJEKT D.O.O., ZAGREB")</f>
        <v>GEOPROJEKT D.O.O., ZAGREB</v>
      </c>
      <c r="I742" s="2"/>
      <c r="J742" s="1"/>
      <c r="K742" s="2"/>
    </row>
    <row r="743" spans="1:11" ht="47.25" x14ac:dyDescent="0.25">
      <c r="A743" s="1" t="str">
        <f>"60/2013"</f>
        <v>60/2013</v>
      </c>
      <c r="B743" s="1" t="s">
        <v>14</v>
      </c>
      <c r="C743" s="1" t="s">
        <v>1723</v>
      </c>
      <c r="D743" s="1" t="str">
        <f>CONCATENATE("2764-2012-EMV",CHAR(10),"2012/S 002-0072322 od 22.10.2012.")</f>
        <v>2764-2012-EMV
2012/S 002-0072322 od 22.10.2012.</v>
      </c>
      <c r="E743" s="1" t="s">
        <v>15</v>
      </c>
      <c r="F743" s="1" t="str">
        <f>"643.690,00"</f>
        <v>643.690,00</v>
      </c>
      <c r="G743" s="1" t="str">
        <f>CONCATENATE("05.02.2013.",CHAR(10),"tijekom 12 mjeseci")</f>
        <v>05.02.2013.
tijekom 12 mjeseci</v>
      </c>
      <c r="H743" s="1" t="str">
        <f>CONCATENATE("GRADITELJ SVRATIŠTA D.O.O., ZAGREB")</f>
        <v>GRADITELJ SVRATIŠTA D.O.O., ZAGREB</v>
      </c>
      <c r="I743" s="1" t="s">
        <v>334</v>
      </c>
      <c r="J743" s="1" t="str">
        <f>SUBSTITUTE(SUBSTITUTE(SUBSTITUTE("715,931.67",".","-"),",","."),"-",",")</f>
        <v>715.931,67</v>
      </c>
      <c r="K743" s="2"/>
    </row>
    <row r="744" spans="1:11" ht="63" x14ac:dyDescent="0.25">
      <c r="A744" s="1" t="str">
        <f>"A-15/2013"</f>
        <v>A-15/2013</v>
      </c>
      <c r="B744" s="1" t="s">
        <v>11</v>
      </c>
      <c r="C744" s="1" t="s">
        <v>2037</v>
      </c>
      <c r="D744" s="1" t="str">
        <f>"EM-430-012/2011"</f>
        <v>EM-430-012/2011</v>
      </c>
      <c r="E744" s="2"/>
      <c r="F744" s="1" t="str">
        <f>"0,00"</f>
        <v>0,00</v>
      </c>
      <c r="G744" s="1" t="str">
        <f>CONCATENATE("06.02.2013.",CHAR(10)," 31.08.2013.")</f>
        <v>06.02.2013.
 31.08.2013.</v>
      </c>
      <c r="H744" s="1" t="str">
        <f>CONCATENATE("NERING PROJEKT D.O.O., ZAGREB")</f>
        <v>NERING PROJEKT D.O.O., ZAGREB</v>
      </c>
      <c r="I744" s="2"/>
      <c r="J744" s="1"/>
      <c r="K744" s="2"/>
    </row>
    <row r="745" spans="1:11" ht="47.25" x14ac:dyDescent="0.25">
      <c r="A745" s="1" t="str">
        <f>"61/2013"</f>
        <v>61/2013</v>
      </c>
      <c r="B745" s="1" t="s">
        <v>14</v>
      </c>
      <c r="C745" s="1" t="s">
        <v>2038</v>
      </c>
      <c r="D745" s="1" t="str">
        <f>CONCATENATE("2861-2012-EMV",CHAR(10),"2012/S 002-0080487 od 15.11.2012.")</f>
        <v>2861-2012-EMV
2012/S 002-0080487 od 15.11.2012.</v>
      </c>
      <c r="E745" s="1" t="s">
        <v>15</v>
      </c>
      <c r="F745" s="1" t="str">
        <f>"264.600,00"</f>
        <v>264.600,00</v>
      </c>
      <c r="G745" s="1" t="str">
        <f>CONCATENATE("06.02.2013.",CHAR(10),"6 mjeseci")</f>
        <v>06.02.2013.
6 mjeseci</v>
      </c>
      <c r="H745" s="1" t="str">
        <f>CONCATENATE("GEOKON - ZAGREB D.D., ZAGREB")</f>
        <v>GEOKON - ZAGREB D.D., ZAGREB</v>
      </c>
      <c r="I745" s="1" t="s">
        <v>203</v>
      </c>
      <c r="J745" s="1" t="str">
        <f>SUBSTITUTE(SUBSTITUTE(SUBSTITUTE("330,750.00",".","-"),",","."),"-",",")</f>
        <v>330.750,00</v>
      </c>
      <c r="K745" s="2"/>
    </row>
    <row r="746" spans="1:11" ht="47.25" x14ac:dyDescent="0.25">
      <c r="A746" s="1" t="str">
        <f>"62/2013"</f>
        <v>62/2013</v>
      </c>
      <c r="B746" s="1" t="s">
        <v>26</v>
      </c>
      <c r="C746" s="1" t="s">
        <v>290</v>
      </c>
      <c r="D746" s="1" t="str">
        <f>"298-2012-EVV"</f>
        <v>298-2012-EVV</v>
      </c>
      <c r="E746" s="1" t="s">
        <v>27</v>
      </c>
      <c r="F746" s="1" t="str">
        <f>"741.859,50"</f>
        <v>741.859,50</v>
      </c>
      <c r="G746" s="1" t="str">
        <f>CONCATENATE("07.02.2013.",CHAR(10),"31.12.2013")</f>
        <v>07.02.2013.
31.12.2013</v>
      </c>
      <c r="H746" s="1" t="str">
        <f>CONCATENATE("LUKOIL CROATIA D.O.O., ZAGREB",CHAR(10),"ENERGOSPEKTAR D.O.O., ZAGREB")</f>
        <v>LUKOIL CROATIA D.O.O., ZAGREB
ENERGOSPEKTAR D.O.O., ZAGREB</v>
      </c>
      <c r="I746" s="1" t="s">
        <v>317</v>
      </c>
      <c r="J746" s="1" t="str">
        <f>SUBSTITUTE(SUBSTITUTE(SUBSTITUTE("661,234.73",".","-"),",","."),"-",",")</f>
        <v>661.234,73</v>
      </c>
      <c r="K746" s="2"/>
    </row>
    <row r="747" spans="1:11" ht="47.25" x14ac:dyDescent="0.25">
      <c r="A747" s="1" t="str">
        <f>"63/2013"</f>
        <v>63/2013</v>
      </c>
      <c r="B747" s="1" t="s">
        <v>14</v>
      </c>
      <c r="C747" s="1" t="s">
        <v>2039</v>
      </c>
      <c r="D747" s="1" t="str">
        <f>CONCATENATE("398-2012-EMV",CHAR(10),"2012/S 002-0077853 od 08.11.2012.")</f>
        <v>398-2012-EMV
2012/S 002-0077853 od 08.11.2012.</v>
      </c>
      <c r="E747" s="1" t="s">
        <v>15</v>
      </c>
      <c r="F747" s="1" t="str">
        <f>"258.715,00"</f>
        <v>258.715,00</v>
      </c>
      <c r="G747" s="1" t="str">
        <f>CONCATENATE("07.02.2013.",CHAR(10),"30 dana")</f>
        <v>07.02.2013.
30 dana</v>
      </c>
      <c r="H747" s="1" t="str">
        <f>CONCATENATE("GRADIMONT D.O.O., ZAGREB")</f>
        <v>GRADIMONT D.O.O., ZAGREB</v>
      </c>
      <c r="I747" s="1" t="s">
        <v>335</v>
      </c>
      <c r="J747" s="1" t="str">
        <f>SUBSTITUTE(SUBSTITUTE(SUBSTITUTE("323,393.41",".","-"),",","."),"-",",")</f>
        <v>323.393,41</v>
      </c>
      <c r="K747" s="2"/>
    </row>
    <row r="748" spans="1:11" ht="47.25" x14ac:dyDescent="0.25">
      <c r="A748" s="1" t="str">
        <f>"64/2013"</f>
        <v>64/2013</v>
      </c>
      <c r="B748" s="1" t="s">
        <v>14</v>
      </c>
      <c r="C748" s="1" t="s">
        <v>2040</v>
      </c>
      <c r="D748" s="1" t="str">
        <f>CONCATENATE("740-2012-EMV",CHAR(10),"2012/S 002-0019501 od 15.05.2012.")</f>
        <v>740-2012-EMV
2012/S 002-0019501 od 15.05.2012.</v>
      </c>
      <c r="E748" s="1" t="s">
        <v>15</v>
      </c>
      <c r="F748" s="1" t="str">
        <f>"432.931,37"</f>
        <v>432.931,37</v>
      </c>
      <c r="G748" s="1" t="str">
        <f>CONCATENATE("11.02.2013.",CHAR(10)," 5 mjeseci")</f>
        <v>11.02.2013.
 5 mjeseci</v>
      </c>
      <c r="H748" s="1" t="str">
        <f>CONCATENATE("TA-GRAD D.O.O., ZAGREB",CHAR(10),"TERRACOTTA D.O.O., ZAGREB")</f>
        <v>TA-GRAD D.O.O., ZAGREB
TERRACOTTA D.O.O., ZAGREB</v>
      </c>
      <c r="I748" s="2"/>
      <c r="J748" s="1"/>
      <c r="K748" s="2"/>
    </row>
    <row r="749" spans="1:11" ht="63" x14ac:dyDescent="0.25">
      <c r="A749" s="1" t="str">
        <f>"65/2013"</f>
        <v>65/2013</v>
      </c>
      <c r="B749" s="1" t="s">
        <v>14</v>
      </c>
      <c r="C749" s="1" t="s">
        <v>2041</v>
      </c>
      <c r="D749" s="1" t="str">
        <f>CONCATENATE("1922-2012-EMV",CHAR(10),"2012/S 002-0079263 od 12.11.2012.")</f>
        <v>1922-2012-EMV
2012/S 002-0079263 od 12.11.2012.</v>
      </c>
      <c r="E749" s="1" t="s">
        <v>15</v>
      </c>
      <c r="F749" s="1" t="str">
        <f>"87.400,00"</f>
        <v>87.400,00</v>
      </c>
      <c r="G749" s="1" t="str">
        <f>CONCATENATE("11.02.2013.",CHAR(10),"180 dana")</f>
        <v>11.02.2013.
180 dana</v>
      </c>
      <c r="H749" s="1" t="str">
        <f>CONCATENATE("PGT ŠKUNCA D.O.O., ZAGREB-SUSEDGRAD",CHAR(10),"GEODATA PROJEKT D.O.O., ZAGREB")</f>
        <v>PGT ŠKUNCA D.O.O., ZAGREB-SUSEDGRAD
GEODATA PROJEKT D.O.O., ZAGREB</v>
      </c>
      <c r="I749" s="2"/>
      <c r="J749" s="1"/>
      <c r="K749" s="2"/>
    </row>
    <row r="750" spans="1:11" ht="63" x14ac:dyDescent="0.25">
      <c r="A750" s="1" t="str">
        <f>"66/2013"</f>
        <v>66/2013</v>
      </c>
      <c r="B750" s="1" t="s">
        <v>14</v>
      </c>
      <c r="C750" s="1" t="s">
        <v>2042</v>
      </c>
      <c r="D750" s="1" t="str">
        <f>CONCATENATE("2654-2012-EMV",CHAR(10),"2012/S 002-0085164 od 28.11.2012.")</f>
        <v>2654-2012-EMV
2012/S 002-0085164 od 28.11.2012.</v>
      </c>
      <c r="E750" s="1" t="s">
        <v>15</v>
      </c>
      <c r="F750" s="1" t="str">
        <f>"129.000,00"</f>
        <v>129.000,00</v>
      </c>
      <c r="G750" s="1" t="str">
        <f>CONCATENATE("11.02.2013.",CHAR(10),"60 dana")</f>
        <v>11.02.2013.
60 dana</v>
      </c>
      <c r="H750" s="1" t="str">
        <f>CONCATENATE("AKING D.O.O., ZAGREB",CHAR(10),"IPT-INŽENJERING D.O.O., ZAGREB",CHAR(10),"MARKIVA PROJEKT D.O.O., ZAGREB")</f>
        <v>AKING D.O.O., ZAGREB
IPT-INŽENJERING D.O.O., ZAGREB
MARKIVA PROJEKT D.O.O., ZAGREB</v>
      </c>
      <c r="I750" s="2"/>
      <c r="J750" s="1"/>
      <c r="K750" s="2"/>
    </row>
    <row r="751" spans="1:11" ht="47.25" x14ac:dyDescent="0.25">
      <c r="A751" s="1" t="str">
        <f>"67/2013"</f>
        <v>67/2013</v>
      </c>
      <c r="B751" s="1" t="s">
        <v>14</v>
      </c>
      <c r="C751" s="1" t="s">
        <v>2043</v>
      </c>
      <c r="D751" s="1" t="str">
        <f>CONCATENATE("1991-2012-EMV",CHAR(10),"2012/S 002-0081964 od 20.11.2012.")</f>
        <v>1991-2012-EMV
2012/S 002-0081964 od 20.11.2012.</v>
      </c>
      <c r="E751" s="1" t="s">
        <v>15</v>
      </c>
      <c r="F751" s="1" t="str">
        <f>"142.024,00"</f>
        <v>142.024,00</v>
      </c>
      <c r="G751" s="1" t="str">
        <f>CONCATENATE("11.02.2013.",CHAR(10)," 50 dana")</f>
        <v>11.02.2013.
 50 dana</v>
      </c>
      <c r="H751" s="1" t="str">
        <f>CONCATENATE("GAJANT D.O.O., ZAGREB",CHAR(10),"JURIČIĆ INVEST D.O.O., ZAGREB",CHAR(10),"TRI-TOM D.O.O., ZAGREB")</f>
        <v>GAJANT D.O.O., ZAGREB
JURIČIĆ INVEST D.O.O., ZAGREB
TRI-TOM D.O.O., ZAGREB</v>
      </c>
      <c r="I751" s="1" t="s">
        <v>336</v>
      </c>
      <c r="J751" s="1" t="str">
        <f>SUBSTITUTE(SUBSTITUTE(SUBSTITUTE("177,206.53",".","-"),",","."),"-",",")</f>
        <v>177.206,53</v>
      </c>
      <c r="K751" s="2"/>
    </row>
    <row r="752" spans="1:11" ht="47.25" x14ac:dyDescent="0.25">
      <c r="A752" s="1" t="str">
        <f>"68/2013"</f>
        <v>68/2013</v>
      </c>
      <c r="B752" s="1" t="s">
        <v>14</v>
      </c>
      <c r="C752" s="1" t="s">
        <v>2044</v>
      </c>
      <c r="D752" s="1" t="str">
        <f>CONCATENATE("409-2012-EMV",CHAR(10),"2012/S 002-0075651 od 31.10.2012.")</f>
        <v>409-2012-EMV
2012/S 002-0075651 od 31.10.2012.</v>
      </c>
      <c r="E752" s="1" t="s">
        <v>15</v>
      </c>
      <c r="F752" s="1" t="str">
        <f>"556.918,00"</f>
        <v>556.918,00</v>
      </c>
      <c r="G752" s="1" t="str">
        <f>CONCATENATE("11.02.2013.",CHAR(10)," 50 dana")</f>
        <v>11.02.2013.
 50 dana</v>
      </c>
      <c r="H752" s="1" t="str">
        <f>CONCATENATE("HEDOM D.O.O., ZAGREB",CHAR(10),"C.I.A.K. D.O.O., ZAGREB")</f>
        <v>HEDOM D.O.O., ZAGREB
C.I.A.K. D.O.O., ZAGREB</v>
      </c>
      <c r="I752" s="1" t="s">
        <v>187</v>
      </c>
      <c r="J752" s="1" t="str">
        <f>SUBSTITUTE(SUBSTITUTE(SUBSTITUTE("673,258.39",".","-"),",","."),"-",",")</f>
        <v>673.258,39</v>
      </c>
      <c r="K752" s="2"/>
    </row>
    <row r="753" spans="1:11" ht="47.25" x14ac:dyDescent="0.25">
      <c r="A753" s="1" t="str">
        <f>"69/2013"</f>
        <v>69/2013</v>
      </c>
      <c r="B753" s="1" t="s">
        <v>14</v>
      </c>
      <c r="C753" s="1" t="s">
        <v>2045</v>
      </c>
      <c r="D753" s="1" t="str">
        <f>CONCATENATE("714-2012-EMV",CHAR(10),"2012/S 002-0082518 od 21.11.2012.")</f>
        <v>714-2012-EMV
2012/S 002-0082518 od 21.11.2012.</v>
      </c>
      <c r="E753" s="1" t="s">
        <v>15</v>
      </c>
      <c r="F753" s="1" t="str">
        <f>"56.094,94"</f>
        <v>56.094,94</v>
      </c>
      <c r="G753" s="1" t="str">
        <f>CONCATENATE("11.02.2013.",CHAR(10)," 4 mjeseca")</f>
        <v>11.02.2013.
 4 mjeseca</v>
      </c>
      <c r="H753" s="1" t="str">
        <f>CONCATENATE("HEDOM D.O.O., ZAGREB",CHAR(10),"KEMOKOP D.O.O., DUGO SELO",CHAR(10),"MC ČIŠĆENJE D.O.O., SISAK")</f>
        <v>HEDOM D.O.O., ZAGREB
KEMOKOP D.O.O., DUGO SELO
MC ČIŠĆENJE D.O.O., SISAK</v>
      </c>
      <c r="I753" s="1" t="s">
        <v>273</v>
      </c>
      <c r="J753" s="1" t="str">
        <f>SUBSTITUTE(SUBSTITUTE(SUBSTITUTE("68,020.05",".","-"),",","."),"-",",")</f>
        <v>68.020,05</v>
      </c>
      <c r="K753" s="2"/>
    </row>
    <row r="754" spans="1:11" ht="47.25" x14ac:dyDescent="0.25">
      <c r="A754" s="1" t="str">
        <f>"70/2013"</f>
        <v>70/2013</v>
      </c>
      <c r="B754" s="1" t="s">
        <v>14</v>
      </c>
      <c r="C754" s="1" t="s">
        <v>2046</v>
      </c>
      <c r="D754" s="1" t="str">
        <f>CONCATENATE("769-2012-EMV",CHAR(10),"2012/S 002-0084596 od 27.11.2012.")</f>
        <v>769-2012-EMV
2012/S 002-0084596 od 27.11.2012.</v>
      </c>
      <c r="E754" s="1" t="s">
        <v>15</v>
      </c>
      <c r="F754" s="1" t="str">
        <f>"3.460.719,02"</f>
        <v>3.460.719,02</v>
      </c>
      <c r="G754" s="1" t="str">
        <f>CONCATENATE("11.02.2013.",CHAR(10),"12 mjeseci")</f>
        <v>11.02.2013.
12 mjeseci</v>
      </c>
      <c r="H754" s="1" t="str">
        <f>CONCATENATE("HEDOM D.O.O., ZAGREB")</f>
        <v>HEDOM D.O.O., ZAGREB</v>
      </c>
      <c r="I754" s="2"/>
      <c r="J754" s="1"/>
      <c r="K754" s="2"/>
    </row>
    <row r="755" spans="1:11" ht="63" x14ac:dyDescent="0.25">
      <c r="A755" s="1" t="str">
        <f>"71/2013"</f>
        <v>71/2013</v>
      </c>
      <c r="B755" s="1" t="s">
        <v>14</v>
      </c>
      <c r="C755" s="1" t="s">
        <v>2047</v>
      </c>
      <c r="D755" s="1" t="str">
        <f>CONCATENATE("2558-2012-EMV",CHAR(10),"2012/S 002-0066365 od 03.10.2012.")</f>
        <v>2558-2012-EMV
2012/S 002-0066365 od 03.10.2012.</v>
      </c>
      <c r="E755" s="1" t="s">
        <v>15</v>
      </c>
      <c r="F755" s="1" t="str">
        <f>"2.240.514,00"</f>
        <v>2.240.514,00</v>
      </c>
      <c r="G755" s="1" t="str">
        <f>CONCATENATE("11.02.2013.",CHAR(10),"180 dana")</f>
        <v>11.02.2013.
180 dana</v>
      </c>
      <c r="H755" s="1" t="str">
        <f>CONCATENATE("HVAR D.O.O., SAMOBOR")</f>
        <v>HVAR D.O.O., SAMOBOR</v>
      </c>
      <c r="I755" s="1" t="s">
        <v>337</v>
      </c>
      <c r="J755" s="1" t="str">
        <f>SUBSTITUTE(SUBSTITUTE(SUBSTITUTE("2,800,327.88",".","-"),",","."),"-",",")</f>
        <v>2.800.327,88</v>
      </c>
      <c r="K755" s="2"/>
    </row>
    <row r="756" spans="1:11" ht="63" x14ac:dyDescent="0.25">
      <c r="A756" s="1" t="str">
        <f>"72/2013"</f>
        <v>72/2013</v>
      </c>
      <c r="B756" s="1" t="s">
        <v>14</v>
      </c>
      <c r="C756" s="1" t="s">
        <v>2048</v>
      </c>
      <c r="D756" s="1" t="str">
        <f>CONCATENATE("431-2012-EMV",CHAR(10),"2012/S 002-0080390 od 15.11.2012.")</f>
        <v>431-2012-EMV
2012/S 002-0080390 od 15.11.2012.</v>
      </c>
      <c r="E756" s="1" t="s">
        <v>15</v>
      </c>
      <c r="F756" s="1" t="str">
        <f>"540.477,20"</f>
        <v>540.477,20</v>
      </c>
      <c r="G756" s="1" t="str">
        <f>CONCATENATE("11.02.2013.",CHAR(10)," 60 dana")</f>
        <v>11.02.2013.
 60 dana</v>
      </c>
      <c r="H756" s="1" t="str">
        <f>CONCATENATE("HEDOM D.O.O., ZAGREB",CHAR(10),"KEMOKOP D.O.O., DUGO SELO",CHAR(10),"EIT-ELEKTROINSTALACIJSKA TEHNIKA D.O.O., ZAGREB")</f>
        <v>HEDOM D.O.O., ZAGREB
KEMOKOP D.O.O., DUGO SELO
EIT-ELEKTROINSTALACIJSKA TEHNIKA D.O.O., ZAGREB</v>
      </c>
      <c r="I756" s="1" t="s">
        <v>338</v>
      </c>
      <c r="J756" s="1" t="str">
        <f>SUBSTITUTE(SUBSTITUTE(SUBSTITUTE("664,460.41",".","-"),",","."),"-",",")</f>
        <v>664.460,41</v>
      </c>
      <c r="K756" s="2"/>
    </row>
    <row r="757" spans="1:11" ht="78.75" x14ac:dyDescent="0.25">
      <c r="A757" s="1" t="str">
        <f>"73/2013"</f>
        <v>73/2013</v>
      </c>
      <c r="B757" s="1" t="s">
        <v>14</v>
      </c>
      <c r="C757" s="1" t="s">
        <v>2049</v>
      </c>
      <c r="D757" s="1" t="str">
        <f>CONCATENATE("863-2012-EVV",CHAR(10),"2012/S 002-0026361 od 01.06.2012.")</f>
        <v>863-2012-EVV
2012/S 002-0026361 od 01.06.2012.</v>
      </c>
      <c r="E757" s="1" t="s">
        <v>15</v>
      </c>
      <c r="F757" s="1" t="str">
        <f>"1.294.400,00"</f>
        <v>1.294.400,00</v>
      </c>
      <c r="G757" s="1" t="str">
        <f>CONCATENATE("12.02.2013.",CHAR(10)," 45 dana")</f>
        <v>12.02.2013.
 45 dana</v>
      </c>
      <c r="H757" s="1" t="str">
        <f>CONCATENATE("HIDROELEKTRA-PROJEKT D.O.O., ZAGREB",CHAR(10),"RENCON D.O.O., OSIJEK")</f>
        <v>HIDROELEKTRA-PROJEKT D.O.O., ZAGREB
RENCON D.O.O., OSIJEK</v>
      </c>
      <c r="I757" s="2"/>
      <c r="J757" s="1"/>
      <c r="K757" s="2"/>
    </row>
    <row r="758" spans="1:11" ht="47.25" x14ac:dyDescent="0.25">
      <c r="A758" s="1" t="str">
        <f>"74/2013"</f>
        <v>74/2013</v>
      </c>
      <c r="B758" s="1" t="s">
        <v>26</v>
      </c>
      <c r="C758" s="1" t="s">
        <v>339</v>
      </c>
      <c r="D758" s="2"/>
      <c r="E758" s="2"/>
      <c r="F758" s="1" t="str">
        <f>"728.309,00"</f>
        <v>728.309,00</v>
      </c>
      <c r="G758" s="1" t="str">
        <f>CONCATENATE("12.02.2013.",CHAR(10),"tijekom 2013.")</f>
        <v>12.02.2013.
tijekom 2013.</v>
      </c>
      <c r="H758" s="1" t="str">
        <f>CONCATENATE("URAR LEBAROVIĆ OBRT ZA PROIZVODNJU I POPRAVAK SATOVA VL. DALIBOR LEBAROVIĆ, ZAGREB")</f>
        <v>URAR LEBAROVIĆ OBRT ZA PROIZVODNJU I POPRAVAK SATOVA VL. DALIBOR LEBAROVIĆ, ZAGREB</v>
      </c>
      <c r="I758" s="1" t="s">
        <v>340</v>
      </c>
      <c r="J758" s="1" t="str">
        <f>SUBSTITUTE(SUBSTITUTE(SUBSTITUTE("910,386.25",".","-"),",","."),"-",",")</f>
        <v>910.386,25</v>
      </c>
      <c r="K758" s="2"/>
    </row>
    <row r="759" spans="1:11" ht="47.25" x14ac:dyDescent="0.25">
      <c r="A759" s="1" t="str">
        <f>"75/2013"</f>
        <v>75/2013</v>
      </c>
      <c r="B759" s="1" t="s">
        <v>14</v>
      </c>
      <c r="C759" s="1" t="s">
        <v>2050</v>
      </c>
      <c r="D759" s="1" t="str">
        <f>CONCATENATE("783-2012-EMV",CHAR(10),"2012/S 002-0078629 od 09.11.2012.")</f>
        <v>783-2012-EMV
2012/S 002-0078629 od 09.11.2012.</v>
      </c>
      <c r="E759" s="1" t="s">
        <v>15</v>
      </c>
      <c r="F759" s="1" t="str">
        <f>"521.522,50"</f>
        <v>521.522,50</v>
      </c>
      <c r="G759" s="1" t="str">
        <f>CONCATENATE("13.02.2013.",CHAR(10),"40 dana")</f>
        <v>13.02.2013.
40 dana</v>
      </c>
      <c r="H759" s="1" t="str">
        <f>CONCATENATE("M. SOLDO D.O.O., ZAGREB",CHAR(10),"KANAL INSPEKT D.O.O., ZAGREB")</f>
        <v>M. SOLDO D.O.O., ZAGREB
KANAL INSPEKT D.O.O., ZAGREB</v>
      </c>
      <c r="I759" s="2"/>
      <c r="J759" s="1"/>
      <c r="K759" s="2"/>
    </row>
    <row r="760" spans="1:11" ht="31.5" x14ac:dyDescent="0.25">
      <c r="A760" s="1" t="str">
        <f>"R-4/2013"</f>
        <v>R-4/2013</v>
      </c>
      <c r="B760" s="1" t="s">
        <v>56</v>
      </c>
      <c r="C760" s="1" t="s">
        <v>2051</v>
      </c>
      <c r="D760" s="2"/>
      <c r="E760" s="2"/>
      <c r="F760" s="1" t="str">
        <f>"0,00"</f>
        <v>0,00</v>
      </c>
      <c r="G760" s="1" t="str">
        <f>"13.02.2013."</f>
        <v>13.02.2013.</v>
      </c>
      <c r="H760" s="1" t="str">
        <f>CONCATENATE("NEVING D.O.O., ZAGREB")</f>
        <v>NEVING D.O.O., ZAGREB</v>
      </c>
      <c r="I760" s="2"/>
      <c r="J760" s="1"/>
      <c r="K760" s="2"/>
    </row>
    <row r="761" spans="1:11" ht="63" x14ac:dyDescent="0.25">
      <c r="A761" s="1" t="str">
        <f>"76/2013"</f>
        <v>76/2013</v>
      </c>
      <c r="B761" s="1" t="s">
        <v>14</v>
      </c>
      <c r="C761" s="1" t="s">
        <v>2052</v>
      </c>
      <c r="D761" s="1" t="str">
        <f>CONCATENATE("2761-2012-EMV",CHAR(10),"2012/S 002-0075640 od 31.10.2012.")</f>
        <v>2761-2012-EMV
2012/S 002-0075640 od 31.10.2012.</v>
      </c>
      <c r="E761" s="1" t="s">
        <v>15</v>
      </c>
      <c r="F761" s="1" t="str">
        <f>"70.480,00"</f>
        <v>70.480,00</v>
      </c>
      <c r="G761" s="1" t="str">
        <f>CONCATENATE("14.02.2013.",CHAR(10)," tijekom 12 mjeseci")</f>
        <v>14.02.2013.
 tijekom 12 mjeseci</v>
      </c>
      <c r="H761" s="1" t="str">
        <f>CONCATENATE("ITS-CONSULTING D.O.O., ZAGREB")</f>
        <v>ITS-CONSULTING D.O.O., ZAGREB</v>
      </c>
      <c r="I761" s="1" t="s">
        <v>152</v>
      </c>
      <c r="J761" s="1" t="str">
        <f>SUBSTITUTE(SUBSTITUTE(SUBSTITUTE("50,000.00",".","-"),",","."),"-",",")</f>
        <v>50.000,00</v>
      </c>
      <c r="K761" s="2"/>
    </row>
    <row r="762" spans="1:11" ht="47.25" x14ac:dyDescent="0.25">
      <c r="A762" s="1" t="str">
        <f>"77/2013"</f>
        <v>77/2013</v>
      </c>
      <c r="B762" s="1" t="s">
        <v>14</v>
      </c>
      <c r="C762" s="1" t="s">
        <v>2053</v>
      </c>
      <c r="D762" s="1" t="str">
        <f>CONCATENATE("24-2012-EMV",CHAR(10),"2012/S 002-0078164 od 08.11.2012.")</f>
        <v>24-2012-EMV
2012/S 002-0078164 od 08.11.2012.</v>
      </c>
      <c r="E762" s="1" t="s">
        <v>15</v>
      </c>
      <c r="F762" s="1" t="str">
        <f>"398.275,19"</f>
        <v>398.275,19</v>
      </c>
      <c r="G762" s="1" t="str">
        <f>CONCATENATE("14.02.2013.",CHAR(10)," tijekom 12 mjeseci")</f>
        <v>14.02.2013.
 tijekom 12 mjeseci</v>
      </c>
      <c r="H762" s="1" t="str">
        <f>CONCATENATE("GRADITELJ SVRATIŠTA D.O.O., ZAGREB",CHAR(10),"KEMIS-TERMOCLEAN D.O.O., ZAGREB")</f>
        <v>GRADITELJ SVRATIŠTA D.O.O., ZAGREB
KEMIS-TERMOCLEAN D.O.O., ZAGREB</v>
      </c>
      <c r="I762" s="1" t="s">
        <v>341</v>
      </c>
      <c r="J762" s="1" t="str">
        <f>SUBSTITUTE(SUBSTITUTE(SUBSTITUTE("497,680.02",".","-"),",","."),"-",",")</f>
        <v>497.680,02</v>
      </c>
      <c r="K762" s="2"/>
    </row>
    <row r="763" spans="1:11" ht="31.5" x14ac:dyDescent="0.25">
      <c r="A763" s="1" t="str">
        <f>"A-16/2013"</f>
        <v>A-16/2013</v>
      </c>
      <c r="B763" s="1" t="s">
        <v>11</v>
      </c>
      <c r="C763" s="1" t="s">
        <v>2054</v>
      </c>
      <c r="D763" s="1" t="str">
        <f>"833-2012-EMV"</f>
        <v>833-2012-EMV</v>
      </c>
      <c r="E763" s="2"/>
      <c r="F763" s="1" t="str">
        <f>"0,00"</f>
        <v>0,00</v>
      </c>
      <c r="G763" s="1" t="str">
        <f>CONCATENATE("14.02.2013.",CHAR(10),"80 dana")</f>
        <v>14.02.2013.
80 dana</v>
      </c>
      <c r="H763" s="1" t="str">
        <f>CONCATENATE("CAPITAL ING D.O.O., ZAGREB",CHAR(10),"ELIPSA - S.Z. D.O.O., ZAGREB")</f>
        <v>CAPITAL ING D.O.O., ZAGREB
ELIPSA - S.Z. D.O.O., ZAGREB</v>
      </c>
      <c r="I763" s="2"/>
      <c r="J763" s="1"/>
      <c r="K763" s="2"/>
    </row>
    <row r="764" spans="1:11" ht="63" x14ac:dyDescent="0.25">
      <c r="A764" s="1" t="str">
        <f>"78/2013"</f>
        <v>78/2013</v>
      </c>
      <c r="B764" s="1" t="s">
        <v>14</v>
      </c>
      <c r="C764" s="1" t="s">
        <v>2055</v>
      </c>
      <c r="D764" s="1" t="str">
        <f>CONCATENATE("2482-2012-EMV",CHAR(10),"2012/S 002-0076128 od 02.11.2012.")</f>
        <v>2482-2012-EMV
2012/S 002-0076128 od 02.11.2012.</v>
      </c>
      <c r="E764" s="1" t="s">
        <v>15</v>
      </c>
      <c r="F764" s="1" t="str">
        <f>"28.000,00"</f>
        <v>28.000,00</v>
      </c>
      <c r="G764" s="1" t="str">
        <f>CONCATENATE("15.02.2013.",CHAR(10),"60 dana")</f>
        <v>15.02.2013.
60 dana</v>
      </c>
      <c r="H764" s="1" t="str">
        <f>CONCATENATE("IPZ-NISKOGRADNJA D.O.O., ZAGREB",CHAR(10),"INOCON D.O.O., ZAGREB",CHAR(10),"IPT-INŽENJERING D.O.O., ZAGREB",CHAR(10),"BEMING D.O.O., ZAGREB")</f>
        <v>IPZ-NISKOGRADNJA D.O.O., ZAGREB
INOCON D.O.O., ZAGREB
IPT-INŽENJERING D.O.O., ZAGREB
BEMING D.O.O., ZAGREB</v>
      </c>
      <c r="I764" s="1" t="s">
        <v>171</v>
      </c>
      <c r="J764" s="1" t="str">
        <f>SUBSTITUTE(SUBSTITUTE(SUBSTITUTE("34,300.00",".","-"),",","."),"-",",")</f>
        <v>34.300,00</v>
      </c>
      <c r="K764" s="2"/>
    </row>
    <row r="765" spans="1:11" ht="31.5" x14ac:dyDescent="0.25">
      <c r="A765" s="1" t="str">
        <f>"A-17/2013"</f>
        <v>A-17/2013</v>
      </c>
      <c r="B765" s="1" t="s">
        <v>11</v>
      </c>
      <c r="C765" s="1" t="s">
        <v>2056</v>
      </c>
      <c r="D765" s="1" t="str">
        <f>"720-2012-EMV"</f>
        <v>720-2012-EMV</v>
      </c>
      <c r="E765" s="2"/>
      <c r="F765" s="1" t="str">
        <f>"0,00"</f>
        <v>0,00</v>
      </c>
      <c r="G765" s="1" t="str">
        <f>CONCATENATE("18.02.2013.",CHAR(10),"30.04.2013.")</f>
        <v>18.02.2013.
30.04.2013.</v>
      </c>
      <c r="H765" s="1" t="str">
        <f>CONCATENATE("NEVING D.O.O., ZAGREB")</f>
        <v>NEVING D.O.O., ZAGREB</v>
      </c>
      <c r="I765" s="2"/>
      <c r="J765" s="1"/>
      <c r="K765" s="2"/>
    </row>
    <row r="766" spans="1:11" ht="47.25" x14ac:dyDescent="0.25">
      <c r="A766" s="1" t="str">
        <f>"79/2013"</f>
        <v>79/2013</v>
      </c>
      <c r="B766" s="1" t="s">
        <v>14</v>
      </c>
      <c r="C766" s="1" t="s">
        <v>2057</v>
      </c>
      <c r="D766" s="1" t="str">
        <f>CONCATENATE("1955-2012-EMV",CHAR(10),"2912/S 002-0081693 od 20.11.2012.")</f>
        <v>1955-2012-EMV
2912/S 002-0081693 od 20.11.2012.</v>
      </c>
      <c r="E766" s="1" t="s">
        <v>15</v>
      </c>
      <c r="F766" s="1" t="str">
        <f>"40.000,00"</f>
        <v>40.000,00</v>
      </c>
      <c r="G766" s="1" t="str">
        <f>CONCATENATE("18.02.2013.",CHAR(10),"6 mjeseci")</f>
        <v>18.02.2013.
6 mjeseci</v>
      </c>
      <c r="H766" s="1" t="str">
        <f>CONCATENATE("EKO-PLAN D.O.O., ZAGREB",CHAR(10),"MJERNIK LIMA D.O.O., ZAGREB")</f>
        <v>EKO-PLAN D.O.O., ZAGREB
MJERNIK LIMA D.O.O., ZAGREB</v>
      </c>
      <c r="I766" s="2"/>
      <c r="J766" s="1"/>
      <c r="K766" s="2"/>
    </row>
    <row r="767" spans="1:11" ht="63" x14ac:dyDescent="0.25">
      <c r="A767" s="1" t="str">
        <f>"A-18/2013"</f>
        <v>A-18/2013</v>
      </c>
      <c r="B767" s="1" t="s">
        <v>11</v>
      </c>
      <c r="C767" s="1" t="s">
        <v>2058</v>
      </c>
      <c r="D767" s="1" t="str">
        <f>"EV-582-022/2011"</f>
        <v>EV-582-022/2011</v>
      </c>
      <c r="E767" s="2"/>
      <c r="F767" s="1" t="str">
        <f>"0,00"</f>
        <v>0,00</v>
      </c>
      <c r="G767" s="1" t="str">
        <f>CONCATENATE("18.02.2013.",CHAR(10),"do sklapanja novog ugovora")</f>
        <v>18.02.2013.
do sklapanja novog ugovora</v>
      </c>
      <c r="H767" s="1" t="str">
        <f>CONCATENATE("TEMPERA D.D., ZAGREB")</f>
        <v>TEMPERA D.D., ZAGREB</v>
      </c>
      <c r="I767" s="2"/>
      <c r="J767" s="1"/>
      <c r="K767" s="2"/>
    </row>
    <row r="768" spans="1:11" ht="47.25" x14ac:dyDescent="0.25">
      <c r="A768" s="1" t="str">
        <f>"A-19/2013"</f>
        <v>A-19/2013</v>
      </c>
      <c r="B768" s="1" t="s">
        <v>11</v>
      </c>
      <c r="C768" s="1" t="s">
        <v>2059</v>
      </c>
      <c r="D768" s="1" t="str">
        <f>"EV-592-012/2011"</f>
        <v>EV-592-012/2011</v>
      </c>
      <c r="E768" s="2"/>
      <c r="F768" s="1" t="str">
        <f>"0,00"</f>
        <v>0,00</v>
      </c>
      <c r="G768" s="1" t="str">
        <f>CONCATENATE("18.02.2013.",CHAR(10)," 330 dana")</f>
        <v>18.02.2013.
 330 dana</v>
      </c>
      <c r="H768" s="1" t="str">
        <f>CONCATENATE("NEXE GRADNJA D.O.O., NAŠICE")</f>
        <v>NEXE GRADNJA D.O.O., NAŠICE</v>
      </c>
      <c r="I768" s="2"/>
      <c r="J768" s="1"/>
      <c r="K768" s="2"/>
    </row>
    <row r="769" spans="1:11" ht="94.5" x14ac:dyDescent="0.25">
      <c r="A769" s="1" t="str">
        <f>"80/2013"</f>
        <v>80/2013</v>
      </c>
      <c r="B769" s="1" t="s">
        <v>14</v>
      </c>
      <c r="C769" s="1" t="s">
        <v>2060</v>
      </c>
      <c r="D769" s="1" t="str">
        <f>CONCATENATE("380-2012-EMV",CHAR(10),"2012/S 002-0082862,od 22.10.2012., te ispravak 2012/S 014-0090726 od 13.12.2012 od 13.12.2012.")</f>
        <v>380-2012-EMV
2012/S 002-0082862,od 22.10.2012., te ispravak 2012/S 014-0090726 od 13.12.2012 od 13.12.2012.</v>
      </c>
      <c r="E769" s="1" t="s">
        <v>15</v>
      </c>
      <c r="F769" s="1" t="str">
        <f>"263.090,00"</f>
        <v>263.090,00</v>
      </c>
      <c r="G769" s="1" t="str">
        <f>CONCATENATE("18.02.2013.",CHAR(10),"60 dana")</f>
        <v>18.02.2013.
60 dana</v>
      </c>
      <c r="H769" s="1" t="str">
        <f>CONCATENATE("TA-GRAD D.O.O., ZAGREB")</f>
        <v>TA-GRAD D.O.O., ZAGREB</v>
      </c>
      <c r="I769" s="1" t="s">
        <v>335</v>
      </c>
      <c r="J769" s="1" t="str">
        <f>SUBSTITUTE(SUBSTITUTE(SUBSTITUTE("328,594.57",".","-"),",","."),"-",",")</f>
        <v>328.594,57</v>
      </c>
      <c r="K769" s="2"/>
    </row>
    <row r="770" spans="1:11" ht="94.5" x14ac:dyDescent="0.25">
      <c r="A770" s="1" t="str">
        <f>"81/2013"</f>
        <v>81/2013</v>
      </c>
      <c r="B770" s="1" t="s">
        <v>14</v>
      </c>
      <c r="C770" s="1" t="s">
        <v>2061</v>
      </c>
      <c r="D770" s="1" t="str">
        <f>CONCATENATE("3185-2012-EMV",CHAR(10),"2012/S 002-0094654 od 27.12.2012.")</f>
        <v>3185-2012-EMV
2012/S 002-0094654 od 27.12.2012.</v>
      </c>
      <c r="E770" s="1" t="s">
        <v>15</v>
      </c>
      <c r="F770" s="1" t="str">
        <f>"34.500,00"</f>
        <v>34.500,00</v>
      </c>
      <c r="G770" s="1" t="str">
        <f>CONCATENATE("18.02.2013.",CHAR(10),"12 mjeseci")</f>
        <v>18.02.2013.
12 mjeseci</v>
      </c>
      <c r="H770" s="1" t="str">
        <f>CONCATENATE("UNIJAMETEOR-EKO D.O.O.,")</f>
        <v>UNIJAMETEOR-EKO D.O.O.,</v>
      </c>
      <c r="I770" s="1" t="s">
        <v>164</v>
      </c>
      <c r="J770" s="1" t="str">
        <f>SUBSTITUTE(SUBSTITUTE(SUBSTITUTE("43,125.00",".","-"),",","."),"-",",")</f>
        <v>43.125,00</v>
      </c>
      <c r="K770" s="2"/>
    </row>
    <row r="771" spans="1:11" ht="110.25" x14ac:dyDescent="0.25">
      <c r="A771" s="1" t="str">
        <f>"82/2013"</f>
        <v>82/2013</v>
      </c>
      <c r="B771" s="1" t="s">
        <v>14</v>
      </c>
      <c r="C771" s="1" t="s">
        <v>2062</v>
      </c>
      <c r="D771" s="1" t="str">
        <f>CONCATENATE("3183-2012-EMV",CHAR(10),"2012/S 002-0094990 od 28.12.2012.")</f>
        <v>3183-2012-EMV
2012/S 002-0094990 od 28.12.2012.</v>
      </c>
      <c r="E771" s="1" t="s">
        <v>15</v>
      </c>
      <c r="F771" s="1" t="str">
        <f>"51.900,00"</f>
        <v>51.900,00</v>
      </c>
      <c r="G771" s="1" t="str">
        <f>CONCATENATE("18.02.2013.",CHAR(10),"12 mjeseci")</f>
        <v>18.02.2013.
12 mjeseci</v>
      </c>
      <c r="H771" s="1" t="str">
        <f>CONCATENATE("NARODNE NOVINE D.D., ZAGREB")</f>
        <v>NARODNE NOVINE D.D., ZAGREB</v>
      </c>
      <c r="I771" s="1" t="s">
        <v>342</v>
      </c>
      <c r="J771" s="1" t="str">
        <f>SUBSTITUTE(SUBSTITUTE(SUBSTITUTE("50,105.00",".","-"),",","."),"-",",")</f>
        <v>50.105,00</v>
      </c>
      <c r="K771" s="2"/>
    </row>
    <row r="772" spans="1:11" ht="47.25" x14ac:dyDescent="0.25">
      <c r="A772" s="1" t="str">
        <f>"83/2013"</f>
        <v>83/2013</v>
      </c>
      <c r="B772" s="1" t="s">
        <v>14</v>
      </c>
      <c r="C772" s="1" t="s">
        <v>2063</v>
      </c>
      <c r="D772" s="1" t="str">
        <f>CONCATENATE("2766-2012-EMV",CHAR(10),"2012/S 002-0071783 od 19.10.2012.")</f>
        <v>2766-2012-EMV
2012/S 002-0071783 od 19.10.2012.</v>
      </c>
      <c r="E772" s="1" t="s">
        <v>15</v>
      </c>
      <c r="F772" s="1" t="str">
        <f>"84.440,00"</f>
        <v>84.440,00</v>
      </c>
      <c r="G772" s="1" t="str">
        <f>CONCATENATE("19.02.2013.",CHAR(10)," 30 dana")</f>
        <v>19.02.2013.
 30 dana</v>
      </c>
      <c r="H772" s="1" t="str">
        <f>CONCATENATE("ADEO D.O.O., OSIJEK")</f>
        <v>ADEO D.O.O., OSIJEK</v>
      </c>
      <c r="I772" s="1" t="s">
        <v>343</v>
      </c>
      <c r="J772" s="1" t="str">
        <f>SUBSTITUTE(SUBSTITUTE(SUBSTITUTE("105,550.00",".","-"),",","."),"-",",")</f>
        <v>105.550,00</v>
      </c>
      <c r="K772" s="2"/>
    </row>
    <row r="773" spans="1:11" ht="47.25" x14ac:dyDescent="0.25">
      <c r="A773" s="1" t="str">
        <f>"84/2013"</f>
        <v>84/2013</v>
      </c>
      <c r="B773" s="1" t="s">
        <v>14</v>
      </c>
      <c r="C773" s="1" t="s">
        <v>2064</v>
      </c>
      <c r="D773" s="1" t="str">
        <f>CONCATENATE("2439-2012-EMV",CHAR(10),"2012/S 002-0071427 od 18.10.2012.")</f>
        <v>2439-2012-EMV
2012/S 002-0071427 od 18.10.2012.</v>
      </c>
      <c r="E773" s="1" t="s">
        <v>15</v>
      </c>
      <c r="F773" s="1" t="str">
        <f>"72.792,00"</f>
        <v>72.792,00</v>
      </c>
      <c r="G773" s="1" t="str">
        <f>CONCATENATE("19.02.2013.",CHAR(10)," tijekom 12 mjeseci")</f>
        <v>19.02.2013.
 tijekom 12 mjeseci</v>
      </c>
      <c r="H773" s="1" t="str">
        <f>CONCATENATE("NERING PROJEKT D.O.O., ZAGREB")</f>
        <v>NERING PROJEKT D.O.O., ZAGREB</v>
      </c>
      <c r="I773" s="1" t="s">
        <v>297</v>
      </c>
      <c r="J773" s="1" t="str">
        <f>SUBSTITUTE(SUBSTITUTE(SUBSTITUTE("90,990.00",".","-"),",","."),"-",",")</f>
        <v>90.990,00</v>
      </c>
      <c r="K773" s="2"/>
    </row>
    <row r="774" spans="1:11" ht="110.25" x14ac:dyDescent="0.25">
      <c r="A774" s="1" t="str">
        <f>"85/2013"</f>
        <v>85/2013</v>
      </c>
      <c r="B774" s="1" t="s">
        <v>14</v>
      </c>
      <c r="C774" s="1" t="s">
        <v>2065</v>
      </c>
      <c r="D774" s="1" t="str">
        <f>CONCATENATE("2868-2012-EMV",CHAR(10),"2012/S 002-0089864 od 11.12.2012.")</f>
        <v>2868-2012-EMV
2012/S 002-0089864 od 11.12.2012.</v>
      </c>
      <c r="E774" s="1" t="s">
        <v>15</v>
      </c>
      <c r="F774" s="1" t="str">
        <f>"105.000,00"</f>
        <v>105.000,00</v>
      </c>
      <c r="G774" s="1" t="str">
        <f>CONCATENATE("19.02.2013.",CHAR(10),"270 dana")</f>
        <v>19.02.2013.
270 dana</v>
      </c>
      <c r="H774" s="1" t="str">
        <f>CONCATENATE("URED OVLAŠTENOG KRAJOBRAZNOG ARHITEKTA -ROBERT DUIĆ, ZAGREB",CHAR(10),"OIKON D.O.O., ZAGREB",CHAR(10),"VIRIDO D.O.O., ZAGREB")</f>
        <v>URED OVLAŠTENOG KRAJOBRAZNOG ARHITEKTA -ROBERT DUIĆ, ZAGREB
OIKON D.O.O., ZAGREB
VIRIDO D.O.O., ZAGREB</v>
      </c>
      <c r="I774" s="1" t="s">
        <v>344</v>
      </c>
      <c r="J774" s="1" t="str">
        <f>SUBSTITUTE(SUBSTITUTE(SUBSTITUTE("131,250.00",".","-"),",","."),"-",",")</f>
        <v>131.250,00</v>
      </c>
      <c r="K774" s="2"/>
    </row>
    <row r="775" spans="1:11" ht="78.75" x14ac:dyDescent="0.25">
      <c r="A775" s="1" t="str">
        <f>"86/2013"</f>
        <v>86/2013</v>
      </c>
      <c r="B775" s="1" t="s">
        <v>14</v>
      </c>
      <c r="C775" s="1" t="s">
        <v>2066</v>
      </c>
      <c r="D775" s="1" t="str">
        <f>CONCATENATE("2605-2012-EMV",CHAR(10),"2012/S 002-0080745 od 15.11.2012.")</f>
        <v>2605-2012-EMV
2012/S 002-0080745 od 15.11.2012.</v>
      </c>
      <c r="E775" s="1" t="s">
        <v>15</v>
      </c>
      <c r="F775" s="1" t="str">
        <f>"884.500,00"</f>
        <v>884.500,00</v>
      </c>
      <c r="G775" s="1" t="str">
        <f>CONCATENATE("19.02.2013.",CHAR(10)," 60 dana")</f>
        <v>19.02.2013.
 60 dana</v>
      </c>
      <c r="H775" s="1" t="str">
        <f>CONCATENATE("MONTEL D.O.O., ZAGREB",CHAR(10),"MGV D.O.O., ZAGREB")</f>
        <v>MONTEL D.O.O., ZAGREB
MGV D.O.O., ZAGREB</v>
      </c>
      <c r="I775" s="2"/>
      <c r="J775" s="1"/>
      <c r="K775" s="2"/>
    </row>
    <row r="776" spans="1:11" ht="78.75" x14ac:dyDescent="0.25">
      <c r="A776" s="1" t="str">
        <f>"87/2013"</f>
        <v>87/2013</v>
      </c>
      <c r="B776" s="1" t="s">
        <v>14</v>
      </c>
      <c r="C776" s="1" t="s">
        <v>2067</v>
      </c>
      <c r="D776" s="1" t="str">
        <f>CONCATENATE("1912-2012-EMV",CHAR(10),"2012/S 002-0083494, od 23.10.2013.,te ispravak 2012/S 014-0085355 od 28.10.2012.")</f>
        <v>1912-2012-EMV
2012/S 002-0083494, od 23.10.2013.,te ispravak 2012/S 014-0085355 od 28.10.2012.</v>
      </c>
      <c r="E776" s="1" t="s">
        <v>15</v>
      </c>
      <c r="F776" s="1" t="str">
        <f>"45.200,00"</f>
        <v>45.200,00</v>
      </c>
      <c r="G776" s="1" t="str">
        <f>CONCATENATE("20.02.2013.",CHAR(10),"180 dana")</f>
        <v>20.02.2013.
180 dana</v>
      </c>
      <c r="H776" s="1" t="str">
        <f>CONCATENATE("PROMPT D.O.O., ZAGREB",CHAR(10),"GEODETIKA D.O.O., ZAGREB")</f>
        <v>PROMPT D.O.O., ZAGREB
GEODETIKA D.O.O., ZAGREB</v>
      </c>
      <c r="I776" s="2"/>
      <c r="J776" s="1"/>
      <c r="K776" s="2"/>
    </row>
    <row r="777" spans="1:11" ht="47.25" x14ac:dyDescent="0.25">
      <c r="A777" s="1" t="str">
        <f>"88/2013"</f>
        <v>88/2013</v>
      </c>
      <c r="B777" s="1" t="s">
        <v>14</v>
      </c>
      <c r="C777" s="1" t="s">
        <v>2068</v>
      </c>
      <c r="D777" s="1" t="str">
        <f>CONCATENATE("2604-2012-EMV",CHAR(10),"2012/S 002-0083359 od 23.11.2012.")</f>
        <v>2604-2012-EMV
2012/S 002-0083359 od 23.11.2012.</v>
      </c>
      <c r="E777" s="1" t="s">
        <v>15</v>
      </c>
      <c r="F777" s="1" t="str">
        <f>"133.000,00"</f>
        <v>133.000,00</v>
      </c>
      <c r="G777" s="1" t="str">
        <f>CONCATENATE("20.02.2013.",CHAR(10),"1 godina")</f>
        <v>20.02.2013.
1 godina</v>
      </c>
      <c r="H777" s="1" t="str">
        <f>CONCATENATE("PROMPT D.O.O., ZAGREB")</f>
        <v>PROMPT D.O.O., ZAGREB</v>
      </c>
      <c r="I777" s="2"/>
      <c r="J777" s="1"/>
      <c r="K777" s="2"/>
    </row>
    <row r="778" spans="1:11" ht="47.25" x14ac:dyDescent="0.25">
      <c r="A778" s="1" t="str">
        <f>"89/2013"</f>
        <v>89/2013</v>
      </c>
      <c r="B778" s="1" t="s">
        <v>14</v>
      </c>
      <c r="C778" s="1" t="s">
        <v>2069</v>
      </c>
      <c r="D778" s="1" t="str">
        <f>CONCATENATE("823-2012-EMV",CHAR(10),"2012/S 002-0076522 od 05.11.2012.")</f>
        <v>823-2012-EMV
2012/S 002-0076522 od 05.11.2012.</v>
      </c>
      <c r="E778" s="1" t="s">
        <v>15</v>
      </c>
      <c r="F778" s="1" t="str">
        <f>"923.845,00"</f>
        <v>923.845,00</v>
      </c>
      <c r="G778" s="1" t="str">
        <f>CONCATENATE("20.02.2013.",CHAR(10),"12 mjeseci")</f>
        <v>20.02.2013.
12 mjeseci</v>
      </c>
      <c r="H778" s="1" t="str">
        <f>CONCATENATE("ŠUŠKOVIĆ-GRAĐENJE D.O.O., ZAGREB",CHAR(10),"GEOANDA D.O.O., ZAGREB")</f>
        <v>ŠUŠKOVIĆ-GRAĐENJE D.O.O., ZAGREB
GEOANDA D.O.O., ZAGREB</v>
      </c>
      <c r="I778" s="1" t="s">
        <v>154</v>
      </c>
      <c r="J778" s="1" t="str">
        <f>SUBSTITUTE(SUBSTITUTE(SUBSTITUTE("1,154,444.06",".","-"),",","."),"-",",")</f>
        <v>1.154.444,06</v>
      </c>
      <c r="K778" s="2"/>
    </row>
    <row r="779" spans="1:11" ht="78.75" x14ac:dyDescent="0.25">
      <c r="A779" s="1" t="str">
        <f>"90/2013"</f>
        <v>90/2013</v>
      </c>
      <c r="B779" s="1" t="s">
        <v>14</v>
      </c>
      <c r="C779" s="1" t="s">
        <v>2070</v>
      </c>
      <c r="D779" s="1" t="str">
        <f>CONCATENATE("2761-2012-EMV",CHAR(10),"2012/S 002-0075640, te ispravak 2012/S 014-0081967 OD 20.11.2012 od 31.10.2012.")</f>
        <v>2761-2012-EMV
2012/S 002-0075640, te ispravak 2012/S 014-0081967 OD 20.11.2012 od 31.10.2012.</v>
      </c>
      <c r="E779" s="1" t="s">
        <v>15</v>
      </c>
      <c r="F779" s="1" t="str">
        <f>"147.569,00"</f>
        <v>147.569,00</v>
      </c>
      <c r="G779" s="1" t="str">
        <f>CONCATENATE("20.02.2013.",CHAR(10)," tijekom 12 mjeseci")</f>
        <v>20.02.2013.
 tijekom 12 mjeseci</v>
      </c>
      <c r="H779" s="1" t="str">
        <f>CONCATENATE("TERMORAD D.O.O., ZAGREB")</f>
        <v>TERMORAD D.O.O., ZAGREB</v>
      </c>
      <c r="I779" s="1" t="s">
        <v>345</v>
      </c>
      <c r="J779" s="1" t="str">
        <f>SUBSTITUTE(SUBSTITUTE(SUBSTITUTE("179,753.06",".","-"),",","."),"-",",")</f>
        <v>179.753,06</v>
      </c>
      <c r="K779" s="2"/>
    </row>
    <row r="780" spans="1:11" ht="47.25" x14ac:dyDescent="0.25">
      <c r="A780" s="1" t="str">
        <f>"91/2013"</f>
        <v>91/2013</v>
      </c>
      <c r="B780" s="1" t="s">
        <v>14</v>
      </c>
      <c r="C780" s="1" t="s">
        <v>2071</v>
      </c>
      <c r="D780" s="1" t="str">
        <f>CONCATENATE("410-2012-EMV",CHAR(10),"2012/S 002-0085165 od 28.11.2012.")</f>
        <v>410-2012-EMV
2012/S 002-0085165 od 28.11.2012.</v>
      </c>
      <c r="E780" s="1" t="s">
        <v>15</v>
      </c>
      <c r="F780" s="1" t="str">
        <f>"92.000,00"</f>
        <v>92.000,00</v>
      </c>
      <c r="G780" s="1" t="str">
        <f>CONCATENATE("21.02.2013.",CHAR(10)," 50 dana")</f>
        <v>21.02.2013.
 50 dana</v>
      </c>
      <c r="H780" s="1" t="str">
        <f>CONCATENATE("EKO-PLAN D.O.O., ZAGREB",CHAR(10),"LAUREUS PROJEKT D.O.O., ZAGREB",CHAR(10),"DRUGI FORMAT D.O.O., ZAGREB")</f>
        <v>EKO-PLAN D.O.O., ZAGREB
LAUREUS PROJEKT D.O.O., ZAGREB
DRUGI FORMAT D.O.O., ZAGREB</v>
      </c>
      <c r="I780" s="1" t="s">
        <v>346</v>
      </c>
      <c r="J780" s="1" t="str">
        <f>SUBSTITUTE(SUBSTITUTE(SUBSTITUTE("115,000.00",".","-"),",","."),"-",",")</f>
        <v>115.000,00</v>
      </c>
      <c r="K780" s="2"/>
    </row>
    <row r="781" spans="1:11" ht="47.25" x14ac:dyDescent="0.25">
      <c r="A781" s="1" t="str">
        <f>"92/2013"</f>
        <v>92/2013</v>
      </c>
      <c r="B781" s="1" t="s">
        <v>14</v>
      </c>
      <c r="C781" s="1" t="s">
        <v>2072</v>
      </c>
      <c r="D781" s="1" t="str">
        <f>CONCATENATE("432-2012-EMV",CHAR(10),"2012/S 002-0080347 od 15.11.2012.")</f>
        <v>432-2012-EMV
2012/S 002-0080347 od 15.11.2012.</v>
      </c>
      <c r="E781" s="1" t="s">
        <v>15</v>
      </c>
      <c r="F781" s="1" t="str">
        <f>"697.676,70"</f>
        <v>697.676,70</v>
      </c>
      <c r="G781" s="1" t="str">
        <f>CONCATENATE("21.02.2013.",CHAR(10)," 60 dana")</f>
        <v>21.02.2013.
 60 dana</v>
      </c>
      <c r="H781" s="1" t="str">
        <f>CONCATENATE("HEDOM D.O.O., ZAGREB",CHAR(10),"KANAL INSPEKT D.O.O., ZAGREB")</f>
        <v>HEDOM D.O.O., ZAGREB
KANAL INSPEKT D.O.O., ZAGREB</v>
      </c>
      <c r="I781" s="1" t="s">
        <v>243</v>
      </c>
      <c r="J781" s="1" t="str">
        <f>SUBSTITUTE(SUBSTITUTE(SUBSTITUTE("727,506.02",".","-"),",","."),"-",",")</f>
        <v>727.506,02</v>
      </c>
      <c r="K781" s="2"/>
    </row>
    <row r="782" spans="1:11" ht="63" x14ac:dyDescent="0.25">
      <c r="A782" s="1" t="str">
        <f>"A-20/2013"</f>
        <v>A-20/2013</v>
      </c>
      <c r="B782" s="1" t="s">
        <v>11</v>
      </c>
      <c r="C782" s="1" t="s">
        <v>2073</v>
      </c>
      <c r="D782" s="1" t="str">
        <f>"EM-833-009/2011"</f>
        <v>EM-833-009/2011</v>
      </c>
      <c r="E782" s="2"/>
      <c r="F782" s="1" t="str">
        <f>"0,00"</f>
        <v>0,00</v>
      </c>
      <c r="G782" s="1" t="str">
        <f>CONCATENATE("21.02.2013.",CHAR(10),"rok izvršenja do sklapanja novog ugovora")</f>
        <v>21.02.2013.
rok izvršenja do sklapanja novog ugovora</v>
      </c>
      <c r="H782" s="1" t="str">
        <f>CONCATENATE("SOKOL MARIĆ D.O.O., ZAGREB")</f>
        <v>SOKOL MARIĆ D.O.O., ZAGREB</v>
      </c>
      <c r="I782" s="2"/>
      <c r="J782" s="1"/>
      <c r="K782" s="2"/>
    </row>
    <row r="783" spans="1:11" ht="78.75" x14ac:dyDescent="0.25">
      <c r="A783" s="1" t="str">
        <f>"93/2013"</f>
        <v>93/2013</v>
      </c>
      <c r="B783" s="1" t="s">
        <v>14</v>
      </c>
      <c r="C783" s="1" t="s">
        <v>2074</v>
      </c>
      <c r="D783" s="1" t="str">
        <f>CONCATENATE("2468-2012-EMV",CHAR(10),"2012/S 002-0065297 od 28.09.2012.,te ispravak 2012/S 014-0072004 od 19.10.2012.")</f>
        <v>2468-2012-EMV
2012/S 002-0065297 od 28.09.2012.,te ispravak 2012/S 014-0072004 od 19.10.2012.</v>
      </c>
      <c r="E783" s="1" t="s">
        <v>15</v>
      </c>
      <c r="F783" s="1" t="str">
        <f>"4.981.351,08"</f>
        <v>4.981.351,08</v>
      </c>
      <c r="G783" s="1" t="str">
        <f>CONCATENATE("21.02.2013.",CHAR(10)," 90 dana")</f>
        <v>21.02.2013.
 90 dana</v>
      </c>
      <c r="H783" s="1" t="str">
        <f>CONCATENATE("TEH-GRADNJA D.O.O., ZAGREB",CHAR(10),"GEOANDA D.O.O., ZAGREB",CHAR(10),"EURO-S 2000 D.O.O., ZAGREB")</f>
        <v>TEH-GRADNJA D.O.O., ZAGREB
GEOANDA D.O.O., ZAGREB
EURO-S 2000 D.O.O., ZAGREB</v>
      </c>
      <c r="I783" s="1" t="s">
        <v>347</v>
      </c>
      <c r="J783" s="1" t="str">
        <f>SUBSTITUTE(SUBSTITUTE(SUBSTITUTE("6,226,246.42",".","-"),",","."),"-",",")</f>
        <v>6.226.246,42</v>
      </c>
      <c r="K783" s="2"/>
    </row>
    <row r="784" spans="1:11" ht="47.25" x14ac:dyDescent="0.25">
      <c r="A784" s="1" t="str">
        <f>"94/2013"</f>
        <v>94/2013</v>
      </c>
      <c r="B784" s="1" t="s">
        <v>14</v>
      </c>
      <c r="C784" s="1" t="s">
        <v>2075</v>
      </c>
      <c r="D784" s="1" t="str">
        <f>CONCATENATE("2579-2012-EMV",CHAR(10),"2012/S 002-0082413 od 21.11.2012.")</f>
        <v>2579-2012-EMV
2012/S 002-0082413 od 21.11.2012.</v>
      </c>
      <c r="E784" s="1" t="s">
        <v>15</v>
      </c>
      <c r="F784" s="1" t="str">
        <f>"67.153,50"</f>
        <v>67.153,50</v>
      </c>
      <c r="G784" s="1" t="str">
        <f>CONCATENATE("21.02.2013.",CHAR(10),"30 dana")</f>
        <v>21.02.2013.
30 dana</v>
      </c>
      <c r="H784" s="1" t="str">
        <f>CONCATENATE("MONTEL D.O.O., ZAGREB",CHAR(10),"MGV D.O.O., ZAGREB")</f>
        <v>MONTEL D.O.O., ZAGREB
MGV D.O.O., ZAGREB</v>
      </c>
      <c r="I784" s="2"/>
      <c r="J784" s="1"/>
      <c r="K784" s="2"/>
    </row>
    <row r="785" spans="1:11" ht="47.25" x14ac:dyDescent="0.25">
      <c r="A785" s="1" t="str">
        <f>"A-21/2013"</f>
        <v>A-21/2013</v>
      </c>
      <c r="B785" s="1" t="s">
        <v>11</v>
      </c>
      <c r="C785" s="1" t="s">
        <v>2076</v>
      </c>
      <c r="D785" s="1" t="str">
        <f>"4-2012-EMV"</f>
        <v>4-2012-EMV</v>
      </c>
      <c r="E785" s="2"/>
      <c r="F785" s="1" t="str">
        <f>"0,00"</f>
        <v>0,00</v>
      </c>
      <c r="G785" s="1" t="str">
        <f>"21.02.2013."</f>
        <v>21.02.2013.</v>
      </c>
      <c r="H785" s="1" t="str">
        <f>CONCATENATE("AUTOTURIST SAMOBOR D.O.O., SAMOBOR")</f>
        <v>AUTOTURIST SAMOBOR D.O.O., SAMOBOR</v>
      </c>
      <c r="I785" s="2"/>
      <c r="J785" s="1"/>
      <c r="K785" s="2"/>
    </row>
    <row r="786" spans="1:11" ht="47.25" x14ac:dyDescent="0.25">
      <c r="A786" s="1" t="str">
        <f>"95/2013"</f>
        <v>95/2013</v>
      </c>
      <c r="B786" s="1" t="s">
        <v>14</v>
      </c>
      <c r="C786" s="1" t="s">
        <v>2077</v>
      </c>
      <c r="D786" s="1" t="str">
        <f>CONCATENATE("2916-2012-EMV",CHAR(10),"2013/S 002-0001479 od 09.01.2013.")</f>
        <v>2916-2012-EMV
2013/S 002-0001479 od 09.01.2013.</v>
      </c>
      <c r="E786" s="1" t="s">
        <v>15</v>
      </c>
      <c r="F786" s="1" t="str">
        <f>"524.219,70"</f>
        <v>524.219,70</v>
      </c>
      <c r="G786" s="1" t="str">
        <f>CONCATENATE("21.02.2013.",CHAR(10)," 15 dana")</f>
        <v>21.02.2013.
 15 dana</v>
      </c>
      <c r="H786" s="1" t="str">
        <f>CONCATENATE("IDS SCHEER D.O.O., SPLIT")</f>
        <v>IDS SCHEER D.O.O., SPLIT</v>
      </c>
      <c r="I786" s="1" t="s">
        <v>162</v>
      </c>
      <c r="J786" s="1" t="str">
        <f>SUBSTITUTE(SUBSTITUTE(SUBSTITUTE("655,274.63",".","-"),",","."),"-",",")</f>
        <v>655.274,63</v>
      </c>
      <c r="K786" s="2"/>
    </row>
    <row r="787" spans="1:11" ht="110.25" x14ac:dyDescent="0.25">
      <c r="A787" s="1" t="str">
        <f>"96/2013"</f>
        <v>96/2013</v>
      </c>
      <c r="B787" s="1" t="s">
        <v>14</v>
      </c>
      <c r="C787" s="1" t="s">
        <v>2078</v>
      </c>
      <c r="D787" s="1" t="str">
        <f>CONCATENATE("3187-2012-EBV",CHAR(10),"2012/S 002-0094712 od 27.12.2012.")</f>
        <v>3187-2012-EBV
2012/S 002-0094712 od 27.12.2012.</v>
      </c>
      <c r="E787" s="1" t="s">
        <v>15</v>
      </c>
      <c r="F787" s="1" t="str">
        <f>"35.983,77"</f>
        <v>35.983,77</v>
      </c>
      <c r="G787" s="1" t="str">
        <f>CONCATENATE("21.02.2013.",CHAR(10),"12 mjeseci")</f>
        <v>21.02.2013.
12 mjeseci</v>
      </c>
      <c r="H787" s="1" t="str">
        <f>CONCATENATE("BIRODOM D.O.O., LUČKO")</f>
        <v>BIRODOM D.O.O., LUČKO</v>
      </c>
      <c r="I787" s="1" t="s">
        <v>348</v>
      </c>
      <c r="J787" s="1" t="str">
        <f>SUBSTITUTE(SUBSTITUTE(SUBSTITUTE("32,187.31",".","-"),",","."),"-",",")</f>
        <v>32.187,31</v>
      </c>
      <c r="K787" s="2"/>
    </row>
    <row r="788" spans="1:11" ht="94.5" x14ac:dyDescent="0.25">
      <c r="A788" s="1" t="str">
        <f>"97/2013"</f>
        <v>97/2013</v>
      </c>
      <c r="B788" s="1" t="s">
        <v>14</v>
      </c>
      <c r="C788" s="1" t="s">
        <v>2079</v>
      </c>
      <c r="D788" s="1" t="str">
        <f>CONCATENATE("3182-2012-EMV",CHAR(10),"2012/S 002-0094786 od 27.12.2012.")</f>
        <v>3182-2012-EMV
2012/S 002-0094786 od 27.12.2012.</v>
      </c>
      <c r="E788" s="1" t="s">
        <v>15</v>
      </c>
      <c r="F788" s="1" t="str">
        <f>"62.634,16"</f>
        <v>62.634,16</v>
      </c>
      <c r="G788" s="1" t="str">
        <f>CONCATENATE("21.02.2013.",CHAR(10),"12 mjeseci")</f>
        <v>21.02.2013.
12 mjeseci</v>
      </c>
      <c r="H788" s="1" t="str">
        <f>CONCATENATE("BIRODOM D.O.O., LUČKO")</f>
        <v>BIRODOM D.O.O., LUČKO</v>
      </c>
      <c r="I788" s="1" t="s">
        <v>349</v>
      </c>
      <c r="J788" s="1" t="str">
        <f>SUBSTITUTE(SUBSTITUTE(SUBSTITUTE("66,547.26",".","-"),",","."),"-",",")</f>
        <v>66.547,26</v>
      </c>
      <c r="K788" s="2"/>
    </row>
    <row r="789" spans="1:11" ht="47.25" x14ac:dyDescent="0.25">
      <c r="A789" s="1" t="str">
        <f>"A-22/2013"</f>
        <v>A-22/2013</v>
      </c>
      <c r="B789" s="1" t="s">
        <v>11</v>
      </c>
      <c r="C789" s="1" t="s">
        <v>2080</v>
      </c>
      <c r="D789" s="1" t="str">
        <f>"446-2012-EMV"</f>
        <v>446-2012-EMV</v>
      </c>
      <c r="E789" s="2"/>
      <c r="F789" s="1" t="str">
        <f>"0,00"</f>
        <v>0,00</v>
      </c>
      <c r="G789" s="1" t="str">
        <f>CONCATENATE("22.02.2013.",CHAR(10)," 53 dana")</f>
        <v>22.02.2013.
 53 dana</v>
      </c>
      <c r="H789" s="1" t="str">
        <f>CONCATENATE("PROKLIMA-TIM D.O.O., ZAGREB")</f>
        <v>PROKLIMA-TIM D.O.O., ZAGREB</v>
      </c>
      <c r="I789" s="2"/>
      <c r="J789" s="1"/>
      <c r="K789" s="2"/>
    </row>
    <row r="790" spans="1:11" ht="47.25" x14ac:dyDescent="0.25">
      <c r="A790" s="1" t="str">
        <f>"98/2013"</f>
        <v>98/2013</v>
      </c>
      <c r="B790" s="1" t="s">
        <v>14</v>
      </c>
      <c r="C790" s="1" t="s">
        <v>2081</v>
      </c>
      <c r="D790" s="1" t="str">
        <f>CONCATENATE("2735-2012-EMV",CHAR(10),"2012/S 002-0075463 od 31.10.2012.")</f>
        <v>2735-2012-EMV
2012/S 002-0075463 od 31.10.2012.</v>
      </c>
      <c r="E790" s="1" t="s">
        <v>15</v>
      </c>
      <c r="F790" s="1" t="str">
        <f>"162.540,00"</f>
        <v>162.540,00</v>
      </c>
      <c r="G790" s="1" t="str">
        <f>CONCATENATE("22.02.2013.",CHAR(10),"30 dana")</f>
        <v>22.02.2013.
30 dana</v>
      </c>
      <c r="H790" s="1" t="str">
        <f>CONCATENATE("BAUERFEIND D.O.O., ZAGREB")</f>
        <v>BAUERFEIND D.O.O., ZAGREB</v>
      </c>
      <c r="I790" s="1" t="s">
        <v>350</v>
      </c>
      <c r="J790" s="1" t="str">
        <f>SUBSTITUTE(SUBSTITUTE(SUBSTITUTE("203,175.00",".","-"),",","."),"-",",")</f>
        <v>203.175,00</v>
      </c>
      <c r="K790" s="2"/>
    </row>
    <row r="791" spans="1:11" ht="47.25" x14ac:dyDescent="0.25">
      <c r="A791" s="1" t="str">
        <f>"99/2013"</f>
        <v>99/2013</v>
      </c>
      <c r="B791" s="1" t="s">
        <v>14</v>
      </c>
      <c r="C791" s="1" t="s">
        <v>2082</v>
      </c>
      <c r="D791" s="1" t="str">
        <f>CONCATENATE("2471-2012-EMV",CHAR(10),"2012/S 002-0085790 od 29.11.2012.")</f>
        <v>2471-2012-EMV
2012/S 002-0085790 od 29.11.2012.</v>
      </c>
      <c r="E791" s="1" t="s">
        <v>15</v>
      </c>
      <c r="F791" s="1" t="str">
        <f>"471.988,00"</f>
        <v>471.988,00</v>
      </c>
      <c r="G791" s="1" t="str">
        <f>CONCATENATE("25.02.2013.",CHAR(10)," 60 dana")</f>
        <v>25.02.2013.
 60 dana</v>
      </c>
      <c r="H791" s="1" t="str">
        <f>CONCATENATE("GEORAD D.O.O., ZAGREB",CHAR(10),"GEOEXPERT-I.G.M., ZAGREB")</f>
        <v>GEORAD D.O.O., ZAGREB
GEOEXPERT-I.G.M., ZAGREB</v>
      </c>
      <c r="I791" s="2"/>
      <c r="J791" s="1"/>
      <c r="K791" s="2"/>
    </row>
    <row r="792" spans="1:11" ht="94.5" x14ac:dyDescent="0.25">
      <c r="A792" s="1" t="str">
        <f>"100/2013"</f>
        <v>100/2013</v>
      </c>
      <c r="B792" s="1" t="s">
        <v>14</v>
      </c>
      <c r="C792" s="1" t="s">
        <v>2083</v>
      </c>
      <c r="D792" s="1" t="str">
        <f>CONCATENATE("2869-2012-EMV",CHAR(10),"2012/S 002-0089888 od 11.12.2012.")</f>
        <v>2869-2012-EMV
2012/S 002-0089888 od 11.12.2012.</v>
      </c>
      <c r="E792" s="1" t="s">
        <v>15</v>
      </c>
      <c r="F792" s="1" t="str">
        <f>"128.000,00"</f>
        <v>128.000,00</v>
      </c>
      <c r="G792" s="1" t="str">
        <f>CONCATENATE("25.02.2013.",CHAR(10)," 120 dana")</f>
        <v>25.02.2013.
 120 dana</v>
      </c>
      <c r="H792" s="1" t="str">
        <f>CONCATENATE("GEORG D.O.O., ZAGREB")</f>
        <v>GEORG D.O.O., ZAGREB</v>
      </c>
      <c r="I792" s="1" t="s">
        <v>351</v>
      </c>
      <c r="J792" s="1" t="str">
        <f>SUBSTITUTE(SUBSTITUTE(SUBSTITUTE("160,000.00",".","-"),",","."),"-",",")</f>
        <v>160.000,00</v>
      </c>
      <c r="K792" s="2"/>
    </row>
    <row r="793" spans="1:11" ht="63" x14ac:dyDescent="0.25">
      <c r="A793" s="1" t="str">
        <f>"101/2013"</f>
        <v>101/2013</v>
      </c>
      <c r="B793" s="1" t="s">
        <v>14</v>
      </c>
      <c r="C793" s="1" t="s">
        <v>1686</v>
      </c>
      <c r="D793" s="1" t="str">
        <f>CONCATENATE("28-2012-EMV",CHAR(10),"2012/S 002-0088359 od 06.12.2012.")</f>
        <v>28-2012-EMV
2012/S 002-0088359 od 06.12.2012.</v>
      </c>
      <c r="E793" s="1" t="s">
        <v>15</v>
      </c>
      <c r="F793" s="1" t="str">
        <f>"27.434,44"</f>
        <v>27.434,44</v>
      </c>
      <c r="G793" s="1" t="str">
        <f>CONCATENATE("25.02.2013.",CHAR(10),"od dana obostranog potpisa ug. do konačnog izvršenja svi usluga navedeni u troškovniku")</f>
        <v>25.02.2013.
od dana obostranog potpisa ug. do konačnog izvršenja svi usluga navedeni u troškovniku</v>
      </c>
      <c r="H793" s="1" t="str">
        <f>CONCATENATE("MARINO-LUČKO D.O.O., LUČKO")</f>
        <v>MARINO-LUČKO D.O.O., LUČKO</v>
      </c>
      <c r="I793" s="2"/>
      <c r="J793" s="1"/>
      <c r="K793" s="2"/>
    </row>
    <row r="794" spans="1:11" ht="47.25" x14ac:dyDescent="0.25">
      <c r="A794" s="1" t="str">
        <f>"A-23/2013"</f>
        <v>A-23/2013</v>
      </c>
      <c r="B794" s="1" t="s">
        <v>11</v>
      </c>
      <c r="C794" s="1" t="s">
        <v>2084</v>
      </c>
      <c r="D794" s="1" t="str">
        <f>"422-2012-EMV"</f>
        <v>422-2012-EMV</v>
      </c>
      <c r="E794" s="2"/>
      <c r="F794" s="1" t="str">
        <f>"0,00"</f>
        <v>0,00</v>
      </c>
      <c r="G794" s="1" t="str">
        <f>CONCATENATE("25.02.2013.",CHAR(10),"3 mjeseca")</f>
        <v>25.02.2013.
3 mjeseca</v>
      </c>
      <c r="H794" s="1" t="str">
        <f>CONCATENATE("KEMIS-TERMOCLEAN D.O.O., ZAGREB",CHAR(10),"O.K.I. MONT D.O.O., ZAGREB")</f>
        <v>KEMIS-TERMOCLEAN D.O.O., ZAGREB
O.K.I. MONT D.O.O., ZAGREB</v>
      </c>
      <c r="I794" s="2"/>
      <c r="J794" s="1"/>
      <c r="K794" s="2"/>
    </row>
    <row r="795" spans="1:11" ht="78.75" x14ac:dyDescent="0.25">
      <c r="A795" s="1" t="str">
        <f>"102/2013"</f>
        <v>102/2013</v>
      </c>
      <c r="B795" s="1" t="s">
        <v>136</v>
      </c>
      <c r="C795" s="1" t="s">
        <v>2085</v>
      </c>
      <c r="D795" s="1" t="str">
        <f>CONCATENATE("774-2012-EMV",CHAR(10),"2012/S 002-0020618, te ispravak 2012/S 014-0026920 od 04.06.2012. od 17.05.2012.")</f>
        <v>774-2012-EMV
2012/S 002-0020618, te ispravak 2012/S 014-0026920 od 04.06.2012. od 17.05.2012.</v>
      </c>
      <c r="E795" s="1" t="s">
        <v>97</v>
      </c>
      <c r="F795" s="1" t="str">
        <f>"538.800,00"</f>
        <v>538.800,00</v>
      </c>
      <c r="G795" s="1" t="str">
        <f>CONCATENATE("26.02.2013.",CHAR(10)," 2 godine")</f>
        <v>26.02.2013.
 2 godine</v>
      </c>
      <c r="H795" s="1" t="str">
        <f>CONCATENATE("HIDROSTRES D.O.O., ZAGREB")</f>
        <v>HIDROSTRES D.O.O., ZAGREB</v>
      </c>
      <c r="I795" s="2"/>
      <c r="J795" s="1"/>
      <c r="K795" s="2"/>
    </row>
    <row r="796" spans="1:11" ht="47.25" x14ac:dyDescent="0.25">
      <c r="A796" s="1" t="str">
        <f>"103/2013"</f>
        <v>103/2013</v>
      </c>
      <c r="B796" s="1" t="s">
        <v>14</v>
      </c>
      <c r="C796" s="1" t="s">
        <v>2086</v>
      </c>
      <c r="D796" s="1" t="str">
        <f>CONCATENATE("753-2012-EMV",CHAR(10),"2012/S 002-0018800 od 11.05.2012.")</f>
        <v>753-2012-EMV
2012/S 002-0018800 od 11.05.2012.</v>
      </c>
      <c r="E796" s="1" t="s">
        <v>15</v>
      </c>
      <c r="F796" s="1" t="str">
        <f>"638.756,92"</f>
        <v>638.756,92</v>
      </c>
      <c r="G796" s="1" t="str">
        <f>CONCATENATE("26.02.2013.",CHAR(10),"14 mjeseci")</f>
        <v>26.02.2013.
14 mjeseci</v>
      </c>
      <c r="H796" s="1" t="str">
        <f>CONCATENATE("HEDOM D.O.O., ZAGREB")</f>
        <v>HEDOM D.O.O., ZAGREB</v>
      </c>
      <c r="I796" s="1" t="s">
        <v>352</v>
      </c>
      <c r="J796" s="1" t="str">
        <f>SUBSTITUTE(SUBSTITUTE(SUBSTITUTE("717,744.44",".","-"),",","."),"-",",")</f>
        <v>717.744,44</v>
      </c>
      <c r="K796" s="2"/>
    </row>
    <row r="797" spans="1:11" ht="47.25" x14ac:dyDescent="0.25">
      <c r="A797" s="1" t="str">
        <f>"104/2013"</f>
        <v>104/2013</v>
      </c>
      <c r="B797" s="1" t="s">
        <v>14</v>
      </c>
      <c r="C797" s="1" t="s">
        <v>2087</v>
      </c>
      <c r="D797" s="1" t="str">
        <f>CONCATENATE("420-2012-EMV",CHAR(10),"2012/S 002-0085224 od 28.11.2012.")</f>
        <v>420-2012-EMV
2012/S 002-0085224 od 28.11.2012.</v>
      </c>
      <c r="E797" s="1" t="s">
        <v>15</v>
      </c>
      <c r="F797" s="1" t="str">
        <f>"1.394.418,00"</f>
        <v>1.394.418,00</v>
      </c>
      <c r="G797" s="1" t="str">
        <f>CONCATENATE("26.02.2013.",CHAR(10),"60 dana")</f>
        <v>26.02.2013.
60 dana</v>
      </c>
      <c r="H797" s="1" t="str">
        <f>CONCATENATE("HEDOM D.O.O., ZAGREB",CHAR(10),"KEMOKOP D.O.O., DUGO SELO",CHAR(10),"JURIČIĆ INVEST D.O.O., ZAGREB")</f>
        <v>HEDOM D.O.O., ZAGREB
KEMOKOP D.O.O., DUGO SELO
JURIČIĆ INVEST D.O.O., ZAGREB</v>
      </c>
      <c r="I797" s="1" t="s">
        <v>346</v>
      </c>
      <c r="J797" s="1" t="str">
        <f>SUBSTITUTE(SUBSTITUTE(SUBSTITUTE("1,664,540.77",".","-"),",","."),"-",",")</f>
        <v>1.664.540,77</v>
      </c>
      <c r="K797" s="2"/>
    </row>
    <row r="798" spans="1:11" ht="63" x14ac:dyDescent="0.25">
      <c r="A798" s="1" t="str">
        <f>"105/2013"</f>
        <v>105/2013</v>
      </c>
      <c r="B798" s="1" t="s">
        <v>14</v>
      </c>
      <c r="C798" s="1" t="s">
        <v>2088</v>
      </c>
      <c r="D798" s="1" t="str">
        <f>CONCATENATE("2613-2012-EMV",CHAR(10),"2012/S 002-0076016 od 02.11.2012.")</f>
        <v>2613-2012-EMV
2012/S 002-0076016 od 02.11.2012.</v>
      </c>
      <c r="E798" s="1" t="s">
        <v>15</v>
      </c>
      <c r="F798" s="1" t="str">
        <f>"369.477,00"</f>
        <v>369.477,00</v>
      </c>
      <c r="G798" s="1" t="str">
        <f>CONCATENATE("26.02.2013.",CHAR(10),"2 mjeseca")</f>
        <v>26.02.2013.
2 mjeseca</v>
      </c>
      <c r="H798" s="1" t="str">
        <f>CONCATENATE("PRIGORAC-GRAĐENJE D.O.O., SESVETE",CHAR(10),"NERING D.O.O., SESVETE",CHAR(10),"MGV D.O.O., ZAGREB")</f>
        <v>PRIGORAC-GRAĐENJE D.O.O., SESVETE
NERING D.O.O., SESVETE
MGV D.O.O., ZAGREB</v>
      </c>
      <c r="I798" s="2"/>
      <c r="J798" s="1"/>
      <c r="K798" s="2"/>
    </row>
    <row r="799" spans="1:11" ht="47.25" x14ac:dyDescent="0.25">
      <c r="A799" s="1" t="str">
        <f>"106/2013"</f>
        <v>106/2013</v>
      </c>
      <c r="B799" s="1" t="s">
        <v>14</v>
      </c>
      <c r="C799" s="1" t="s">
        <v>2089</v>
      </c>
      <c r="D799" s="1" t="str">
        <f>CONCATENATE("2765-2012-EMV",CHAR(10),"2012/S 002-0082761 od 22.11.2012.")</f>
        <v>2765-2012-EMV
2012/S 002-0082761 od 22.11.2012.</v>
      </c>
      <c r="E799" s="1" t="s">
        <v>15</v>
      </c>
      <c r="F799" s="1" t="str">
        <f>"1.990.594,71"</f>
        <v>1.990.594,71</v>
      </c>
      <c r="G799" s="1" t="str">
        <f>CONCATENATE("26.02.2013.",CHAR(10),"90 dana")</f>
        <v>26.02.2013.
90 dana</v>
      </c>
      <c r="H799" s="1" t="str">
        <f>CONCATENATE("HEDOM D.O.O., ZAGREB",CHAR(10),"ITS-CONSULTING D.O.O., ZAGREB",CHAR(10),"MC ČIŠĆENJE D.O.O., SISAK")</f>
        <v>HEDOM D.O.O., ZAGREB
ITS-CONSULTING D.O.O., ZAGREB
MC ČIŠĆENJE D.O.O., SISAK</v>
      </c>
      <c r="I799" s="1" t="s">
        <v>137</v>
      </c>
      <c r="J799" s="1" t="str">
        <f>SUBSTITUTE(SUBSTITUTE(SUBSTITUTE("2,338,075.69",".","-"),",","."),"-",",")</f>
        <v>2.338.075,69</v>
      </c>
      <c r="K799" s="2"/>
    </row>
    <row r="800" spans="1:11" ht="47.25" x14ac:dyDescent="0.25">
      <c r="A800" s="1" t="str">
        <f>"107/2013"</f>
        <v>107/2013</v>
      </c>
      <c r="B800" s="1" t="s">
        <v>14</v>
      </c>
      <c r="C800" s="1" t="s">
        <v>2090</v>
      </c>
      <c r="D800" s="1" t="str">
        <f>CONCATENATE("770-2012-EMV",CHAR(10),"2012/S 002-0088571 od 07.12.2012.")</f>
        <v>770-2012-EMV
2012/S 002-0088571 od 07.12.2012.</v>
      </c>
      <c r="E800" s="1" t="s">
        <v>15</v>
      </c>
      <c r="F800" s="1" t="str">
        <f>"105.000,00"</f>
        <v>105.000,00</v>
      </c>
      <c r="G800" s="1" t="str">
        <f>CONCATENATE("28.02.2013.",CHAR(10),"12 mjeseci")</f>
        <v>28.02.2013.
12 mjeseci</v>
      </c>
      <c r="H800" s="1" t="str">
        <f>CONCATENATE("STUDIO ARHING D.O.O., ZAGREB")</f>
        <v>STUDIO ARHING D.O.O., ZAGREB</v>
      </c>
      <c r="I800" s="2"/>
      <c r="J800" s="1"/>
      <c r="K800" s="2"/>
    </row>
    <row r="801" spans="1:11" ht="47.25" x14ac:dyDescent="0.25">
      <c r="A801" s="1" t="str">
        <f>"108/2013"</f>
        <v>108/2013</v>
      </c>
      <c r="B801" s="1" t="s">
        <v>26</v>
      </c>
      <c r="C801" s="1" t="s">
        <v>353</v>
      </c>
      <c r="D801" s="1" t="str">
        <f>"773-2012-EMV"</f>
        <v>773-2012-EMV</v>
      </c>
      <c r="E801" s="1" t="s">
        <v>27</v>
      </c>
      <c r="F801" s="1" t="str">
        <f>"49.895,50"</f>
        <v>49.895,50</v>
      </c>
      <c r="G801" s="1" t="str">
        <f>CONCATENATE("28.02.2013.",CHAR(10),"tijekom 12 mjeseci")</f>
        <v>28.02.2013.
tijekom 12 mjeseci</v>
      </c>
      <c r="H801" s="1" t="str">
        <f>CONCATENATE("MILAN UTOVIĆ DIPL ING., STALNI SUDSKI VJEŠTAK, ZAGREB")</f>
        <v>MILAN UTOVIĆ DIPL ING., STALNI SUDSKI VJEŠTAK, ZAGREB</v>
      </c>
      <c r="I801" s="2"/>
      <c r="J801" s="1"/>
      <c r="K801" s="2"/>
    </row>
    <row r="802" spans="1:11" ht="78.75" x14ac:dyDescent="0.25">
      <c r="A802" s="1" t="str">
        <f>"109/2013"</f>
        <v>109/2013</v>
      </c>
      <c r="B802" s="1" t="s">
        <v>14</v>
      </c>
      <c r="C802" s="1" t="s">
        <v>2091</v>
      </c>
      <c r="D802" s="1" t="str">
        <f>CONCATENATE("2067-2012-EMV",CHAR(10),"2012/S 002-0084566 od 27.11.2012.")</f>
        <v>2067-2012-EMV
2012/S 002-0084566 od 27.11.2012.</v>
      </c>
      <c r="E802" s="1" t="s">
        <v>15</v>
      </c>
      <c r="F802" s="1" t="str">
        <f>"23.877,55"</f>
        <v>23.877,55</v>
      </c>
      <c r="G802" s="1" t="str">
        <f>CONCATENATE("28.02.2013.",CHAR(10),"tijekom cijelog perioda izvođenja radova na objektu i praćenja reklamacija u jamstvenom roku")</f>
        <v>28.02.2013.
tijekom cijelog perioda izvođenja radova na objektu i praćenja reklamacija u jamstvenom roku</v>
      </c>
      <c r="H802" s="1" t="str">
        <f>CONCATENATE("GRADIR D.O.O., ZAGREB")</f>
        <v>GRADIR D.O.O., ZAGREB</v>
      </c>
      <c r="I802" s="2"/>
      <c r="J802" s="1"/>
      <c r="K802" s="2"/>
    </row>
    <row r="803" spans="1:11" ht="47.25" x14ac:dyDescent="0.25">
      <c r="A803" s="1" t="str">
        <f>"A-24/2013"</f>
        <v>A-24/2013</v>
      </c>
      <c r="B803" s="1" t="s">
        <v>11</v>
      </c>
      <c r="C803" s="1" t="s">
        <v>2092</v>
      </c>
      <c r="D803" s="1" t="str">
        <f>"438-2012-EMV"</f>
        <v>438-2012-EMV</v>
      </c>
      <c r="E803" s="2"/>
      <c r="F803" s="1" t="str">
        <f>"0,00"</f>
        <v>0,00</v>
      </c>
      <c r="G803" s="1" t="str">
        <f>CONCATENATE("28.02.2013.",CHAR(10),"30.04.2013.")</f>
        <v>28.02.2013.
30.04.2013.</v>
      </c>
      <c r="H803" s="1" t="str">
        <f>CONCATENATE("HEDOM D.O.O., ZAGREB")</f>
        <v>HEDOM D.O.O., ZAGREB</v>
      </c>
      <c r="I803" s="2"/>
      <c r="J803" s="1"/>
      <c r="K803" s="2"/>
    </row>
    <row r="804" spans="1:11" ht="63" x14ac:dyDescent="0.25">
      <c r="A804" s="1" t="str">
        <f>"A-25/2013"</f>
        <v>A-25/2013</v>
      </c>
      <c r="B804" s="1" t="s">
        <v>11</v>
      </c>
      <c r="C804" s="1" t="s">
        <v>2093</v>
      </c>
      <c r="D804" s="1" t="str">
        <f>"867-2012-EMV"</f>
        <v>867-2012-EMV</v>
      </c>
      <c r="E804" s="2"/>
      <c r="F804" s="1" t="str">
        <f>"0,00"</f>
        <v>0,00</v>
      </c>
      <c r="G804" s="1" t="str">
        <f>CONCATENATE("28.02.2013.",CHAR(10)," 20.04.2013.")</f>
        <v>28.02.2013.
 20.04.2013.</v>
      </c>
      <c r="H804" s="1" t="str">
        <f>CONCATENATE("HIDROCOMMERCE D.O.O., GORNJI STUPNIK")</f>
        <v>HIDROCOMMERCE D.O.O., GORNJI STUPNIK</v>
      </c>
      <c r="I804" s="2"/>
      <c r="J804" s="1"/>
      <c r="K804" s="2"/>
    </row>
    <row r="805" spans="1:11" ht="94.5" x14ac:dyDescent="0.25">
      <c r="A805" s="1" t="str">
        <f>"110/2013"</f>
        <v>110/2013</v>
      </c>
      <c r="B805" s="1" t="s">
        <v>14</v>
      </c>
      <c r="C805" s="1" t="s">
        <v>2094</v>
      </c>
      <c r="D805" s="1" t="str">
        <f>CONCATENATE("3184-2012-EMV",CHAR(10),"2012/S 002-0094659 od 27.12.2012.")</f>
        <v>3184-2012-EMV
2012/S 002-0094659 od 27.12.2012.</v>
      </c>
      <c r="E805" s="1" t="s">
        <v>15</v>
      </c>
      <c r="F805" s="1" t="str">
        <f>"61.490,00"</f>
        <v>61.490,00</v>
      </c>
      <c r="G805" s="1" t="str">
        <f>CONCATENATE("28.02.2013.",CHAR(10),"12 mjeseci")</f>
        <v>28.02.2013.
12 mjeseci</v>
      </c>
      <c r="H805" s="1" t="str">
        <f>CONCATENATE("ALTOCOMM D.O.O., ZAGREB")</f>
        <v>ALTOCOMM D.O.O., ZAGREB</v>
      </c>
      <c r="I805" s="1" t="s">
        <v>120</v>
      </c>
      <c r="J805" s="1" t="str">
        <f>SUBSTITUTE(SUBSTITUTE(SUBSTITUTE("76,862.50",".","-"),",","."),"-",",")</f>
        <v>76.862,50</v>
      </c>
      <c r="K805" s="2"/>
    </row>
    <row r="806" spans="1:11" ht="47.25" x14ac:dyDescent="0.25">
      <c r="A806" s="1" t="str">
        <f>"111/2013"</f>
        <v>111/2013</v>
      </c>
      <c r="B806" s="1" t="s">
        <v>14</v>
      </c>
      <c r="C806" s="1" t="s">
        <v>2095</v>
      </c>
      <c r="D806" s="1" t="str">
        <f>CONCATENATE("2761-2012-EMV",CHAR(10),"2012/S 002-0075640 od 31.10.2012.")</f>
        <v>2761-2012-EMV
2012/S 002-0075640 od 31.10.2012.</v>
      </c>
      <c r="E806" s="1" t="s">
        <v>15</v>
      </c>
      <c r="F806" s="1" t="str">
        <f>"147.920,00"</f>
        <v>147.920,00</v>
      </c>
      <c r="G806" s="1" t="str">
        <f>CONCATENATE("28.02.2013.",CHAR(10)," tijekom 12 mjeseci")</f>
        <v>28.02.2013.
 tijekom 12 mjeseci</v>
      </c>
      <c r="H806" s="1" t="str">
        <f>CONCATENATE("MEP D.O.O., RIJEKA")</f>
        <v>MEP D.O.O., RIJEKA</v>
      </c>
      <c r="I806" s="1" t="s">
        <v>354</v>
      </c>
      <c r="J806" s="1" t="str">
        <f>SUBSTITUTE(SUBSTITUTE(SUBSTITUTE("67,506.09",".","-"),",","."),"-",",")</f>
        <v>67.506,09</v>
      </c>
      <c r="K806" s="2"/>
    </row>
    <row r="807" spans="1:11" ht="47.25" x14ac:dyDescent="0.25">
      <c r="A807" s="1" t="str">
        <f>"112/2013"</f>
        <v>112/2013</v>
      </c>
      <c r="B807" s="1" t="s">
        <v>14</v>
      </c>
      <c r="C807" s="1" t="s">
        <v>2096</v>
      </c>
      <c r="D807" s="1" t="str">
        <f>CONCATENATE("748-2012-EMV",CHAR(10),"2012/S 002-0025937 od 31.05.2012.")</f>
        <v>748-2012-EMV
2012/S 002-0025937 od 31.05.2012.</v>
      </c>
      <c r="E807" s="1" t="s">
        <v>15</v>
      </c>
      <c r="F807" s="1" t="str">
        <f>"170.090,35"</f>
        <v>170.090,35</v>
      </c>
      <c r="G807" s="1" t="str">
        <f>CONCATENATE("01.03.2013.",CHAR(10)," 5 mjeseci")</f>
        <v>01.03.2013.
 5 mjeseci</v>
      </c>
      <c r="H807" s="1" t="str">
        <f>CONCATENATE("HEDOM D.O.O., ZAGREB",CHAR(10),"ITS-CONSULTING D.O.O., ZAGREB")</f>
        <v>HEDOM D.O.O., ZAGREB
ITS-CONSULTING D.O.O., ZAGREB</v>
      </c>
      <c r="I807" s="1" t="s">
        <v>351</v>
      </c>
      <c r="J807" s="1" t="str">
        <f>SUBSTITUTE(SUBSTITUTE(SUBSTITUTE("211,507.56",".","-"),",","."),"-",",")</f>
        <v>211.507,56</v>
      </c>
      <c r="K807" s="2"/>
    </row>
    <row r="808" spans="1:11" ht="63" x14ac:dyDescent="0.25">
      <c r="A808" s="1" t="str">
        <f>"A-26/2013"</f>
        <v>A-26/2013</v>
      </c>
      <c r="B808" s="1" t="s">
        <v>11</v>
      </c>
      <c r="C808" s="1" t="s">
        <v>2097</v>
      </c>
      <c r="D808" s="1" t="str">
        <f>"EV-831-009/2011."</f>
        <v>EV-831-009/2011.</v>
      </c>
      <c r="E808" s="2"/>
      <c r="F808" s="1" t="str">
        <f>"0,00"</f>
        <v>0,00</v>
      </c>
      <c r="G808" s="1" t="str">
        <f>CONCATENATE("01.03.2013.",CHAR(10),"do sklapanja novog ugovora")</f>
        <v>01.03.2013.
do sklapanja novog ugovora</v>
      </c>
      <c r="H808" s="1" t="str">
        <f>CONCATENATE("ZAŠTITA-ZAGREB D.D., ZAGREB")</f>
        <v>ZAŠTITA-ZAGREB D.D., ZAGREB</v>
      </c>
      <c r="I808" s="2"/>
      <c r="J808" s="1"/>
      <c r="K808" s="2"/>
    </row>
    <row r="809" spans="1:11" ht="63" x14ac:dyDescent="0.25">
      <c r="A809" s="1" t="str">
        <f>"113/2013"</f>
        <v>113/2013</v>
      </c>
      <c r="B809" s="1" t="s">
        <v>14</v>
      </c>
      <c r="C809" s="1" t="s">
        <v>2098</v>
      </c>
      <c r="D809" s="1" t="str">
        <f>CONCATENATE("759-2012-EMV",CHAR(10),"2012/S 002-0014494 od 26.04.2012.")</f>
        <v>759-2012-EMV
2012/S 002-0014494 od 26.04.2012.</v>
      </c>
      <c r="E809" s="1" t="s">
        <v>15</v>
      </c>
      <c r="F809" s="1" t="str">
        <f>"636.811,00"</f>
        <v>636.811,00</v>
      </c>
      <c r="G809" s="1" t="str">
        <f>CONCATENATE("01.03.2013.",CHAR(10),"9 mjeseci")</f>
        <v>01.03.2013.
9 mjeseci</v>
      </c>
      <c r="H809" s="1" t="str">
        <f>CONCATENATE("HM-PATRIA D.O.O., ZAGREB",CHAR(10),"ATIKA OBRT ZA RESTAURIRANJE UMJETNINA I USLUŽNE DJELATNOSTI, ZAGREB")</f>
        <v>HM-PATRIA D.O.O., ZAGREB
ATIKA OBRT ZA RESTAURIRANJE UMJETNINA I USLUŽNE DJELATNOSTI, ZAGREB</v>
      </c>
      <c r="I809" s="1" t="s">
        <v>355</v>
      </c>
      <c r="J809" s="1" t="str">
        <f>SUBSTITUTE(SUBSTITUTE(SUBSTITUTE("795,784.11",".","-"),",","."),"-",",")</f>
        <v>795.784,11</v>
      </c>
      <c r="K809" s="2"/>
    </row>
    <row r="810" spans="1:11" ht="63" x14ac:dyDescent="0.25">
      <c r="A810" s="1" t="str">
        <f>"114/2013"</f>
        <v>114/2013</v>
      </c>
      <c r="B810" s="1" t="s">
        <v>14</v>
      </c>
      <c r="C810" s="1" t="s">
        <v>2099</v>
      </c>
      <c r="D810" s="1" t="str">
        <f>CONCATENATE("2635-2012-EMV",CHAR(10),"2012/S 002-0078559 od 09.11.2012.")</f>
        <v>2635-2012-EMV
2012/S 002-0078559 od 09.11.2012.</v>
      </c>
      <c r="E810" s="1" t="s">
        <v>15</v>
      </c>
      <c r="F810" s="1" t="str">
        <f>"32.000,00"</f>
        <v>32.000,00</v>
      </c>
      <c r="G810" s="1" t="str">
        <f>CONCATENATE("01.03.2013.",CHAR(10),"prema rokovima i dinamici izvođenja radova, od dana uvođenja u posao")</f>
        <v>01.03.2013.
prema rokovima i dinamici izvođenja radova, od dana uvođenja u posao</v>
      </c>
      <c r="H810" s="1" t="str">
        <f>CONCATENATE("JURCON PROJEKT D.O.O., ZAGREB")</f>
        <v>JURCON PROJEKT D.O.O., ZAGREB</v>
      </c>
      <c r="I810" s="1" t="s">
        <v>356</v>
      </c>
      <c r="J810" s="1" t="str">
        <f>SUBSTITUTE(SUBSTITUTE(SUBSTITUTE("40,000.00",".","-"),",","."),"-",",")</f>
        <v>40.000,00</v>
      </c>
      <c r="K810" s="2"/>
    </row>
    <row r="811" spans="1:11" ht="47.25" x14ac:dyDescent="0.25">
      <c r="A811" s="1" t="str">
        <f>"115/2013"</f>
        <v>115/2013</v>
      </c>
      <c r="B811" s="1" t="s">
        <v>14</v>
      </c>
      <c r="C811" s="1" t="s">
        <v>2100</v>
      </c>
      <c r="D811" s="1" t="str">
        <f>CONCATENATE("2015-2012-EMV",CHAR(10),"2012/S 002-0085334 od 28.11.2012.")</f>
        <v>2015-2012-EMV
2012/S 002-0085334 od 28.11.2012.</v>
      </c>
      <c r="E811" s="1" t="s">
        <v>15</v>
      </c>
      <c r="F811" s="1" t="str">
        <f>"145.000,00"</f>
        <v>145.000,00</v>
      </c>
      <c r="G811" s="1" t="str">
        <f>CONCATENATE("01.03.2013.",CHAR(10),"90 dana")</f>
        <v>01.03.2013.
90 dana</v>
      </c>
      <c r="H811" s="1" t="str">
        <f>CONCATENATE("MOSTPROJEKT D.O.O., ZAGREB")</f>
        <v>MOSTPROJEKT D.O.O., ZAGREB</v>
      </c>
      <c r="I811" s="2"/>
      <c r="J811" s="1"/>
      <c r="K811" s="2"/>
    </row>
    <row r="812" spans="1:11" ht="47.25" x14ac:dyDescent="0.25">
      <c r="A812" s="1" t="str">
        <f>"116/2013"</f>
        <v>116/2013</v>
      </c>
      <c r="B812" s="1" t="s">
        <v>14</v>
      </c>
      <c r="C812" s="1" t="s">
        <v>2101</v>
      </c>
      <c r="D812" s="1" t="str">
        <f>CONCATENATE("2866-2012-EMV",CHAR(10),"2012/S 002-0084780 od 27.11.2012.")</f>
        <v>2866-2012-EMV
2012/S 002-0084780 od 27.11.2012.</v>
      </c>
      <c r="E812" s="1" t="s">
        <v>15</v>
      </c>
      <c r="F812" s="1" t="str">
        <f>"173.500,00"</f>
        <v>173.500,00</v>
      </c>
      <c r="G812" s="1" t="str">
        <f>CONCATENATE("01.03.2013.",CHAR(10),"75 dana")</f>
        <v>01.03.2013.
75 dana</v>
      </c>
      <c r="H812" s="1" t="str">
        <f>CONCATENATE("MOSTPROJEKT D.O.O., ZAGREB")</f>
        <v>MOSTPROJEKT D.O.O., ZAGREB</v>
      </c>
      <c r="I812" s="2"/>
      <c r="J812" s="1"/>
      <c r="K812" s="2"/>
    </row>
    <row r="813" spans="1:11" ht="47.25" x14ac:dyDescent="0.25">
      <c r="A813" s="1" t="str">
        <f>"117/2013"</f>
        <v>117/2013</v>
      </c>
      <c r="B813" s="1" t="s">
        <v>14</v>
      </c>
      <c r="C813" s="1" t="s">
        <v>2102</v>
      </c>
      <c r="D813" s="1" t="str">
        <f>CONCATENATE("832-2012-EMV",CHAR(10),"2012/S 002-0084820 od 27.11.2012.")</f>
        <v>832-2012-EMV
2012/S 002-0084820 od 27.11.2012.</v>
      </c>
      <c r="E813" s="1" t="s">
        <v>15</v>
      </c>
      <c r="F813" s="1" t="str">
        <f>"244.812,30"</f>
        <v>244.812,30</v>
      </c>
      <c r="G813" s="1" t="str">
        <f>CONCATENATE("01.03.2013.",CHAR(10),"90 dana")</f>
        <v>01.03.2013.
90 dana</v>
      </c>
      <c r="H813" s="1" t="str">
        <f>CONCATENATE("MOSTPROJEKT D.O.O., ZAGREB")</f>
        <v>MOSTPROJEKT D.O.O., ZAGREB</v>
      </c>
      <c r="I813" s="2"/>
      <c r="J813" s="1"/>
      <c r="K813" s="2"/>
    </row>
    <row r="814" spans="1:11" ht="47.25" x14ac:dyDescent="0.25">
      <c r="A814" s="1" t="str">
        <f>"118/2013"</f>
        <v>118/2013</v>
      </c>
      <c r="B814" s="1" t="s">
        <v>14</v>
      </c>
      <c r="C814" s="1" t="s">
        <v>2103</v>
      </c>
      <c r="D814" s="1" t="str">
        <f>CONCATENATE("711-2012-EMV",CHAR(10),"2012/S 002-0081680 od 20.11.2012.")</f>
        <v>711-2012-EMV
2012/S 002-0081680 od 20.11.2012.</v>
      </c>
      <c r="E814" s="1" t="s">
        <v>15</v>
      </c>
      <c r="F814" s="1" t="str">
        <f>"199.050,50"</f>
        <v>199.050,50</v>
      </c>
      <c r="G814" s="1" t="str">
        <f>CONCATENATE("01.03.2013.",CHAR(10),"4 mjeseca")</f>
        <v>01.03.2013.
4 mjeseca</v>
      </c>
      <c r="H814" s="1" t="str">
        <f>CONCATENATE("TITAN CONSTRUCTA D.O.O., ZAGREB",CHAR(10),"UNIVERZAL D.O.O., VARAŽDIN",CHAR(10),"AEKS D.O.O., IVANIĆ-GRAD")</f>
        <v>TITAN CONSTRUCTA D.O.O., ZAGREB
UNIVERZAL D.O.O., VARAŽDIN
AEKS D.O.O., IVANIĆ-GRAD</v>
      </c>
      <c r="I814" s="1" t="s">
        <v>53</v>
      </c>
      <c r="J814" s="1" t="str">
        <f>SUBSTITUTE(SUBSTITUTE(SUBSTITUTE("248,406.30",".","-"),",","."),"-",",")</f>
        <v>248.406,30</v>
      </c>
      <c r="K814" s="2"/>
    </row>
    <row r="815" spans="1:11" ht="173.25" x14ac:dyDescent="0.25">
      <c r="A815" s="1" t="str">
        <f>"119/2013"</f>
        <v>119/2013</v>
      </c>
      <c r="B815" s="1" t="s">
        <v>26</v>
      </c>
      <c r="C815" s="1" t="s">
        <v>357</v>
      </c>
      <c r="D815" s="1" t="str">
        <f>"378-2012-EVV"</f>
        <v>378-2012-EVV</v>
      </c>
      <c r="E815" s="1" t="s">
        <v>27</v>
      </c>
      <c r="F815" s="1" t="str">
        <f>"7.574.521,64"</f>
        <v>7.574.521,64</v>
      </c>
      <c r="G815" s="1" t="str">
        <f>CONCATENATE("01.03.2013.",CHAR(10)," tijekom 12 mjeseci")</f>
        <v>01.03.2013.
 tijekom 12 mjeseci</v>
      </c>
      <c r="H815" s="1" t="str">
        <f>CONCATENATE("DUKAT D.D., ZAGREB")</f>
        <v>DUKAT D.D., ZAGREB</v>
      </c>
      <c r="I815" s="1" t="s">
        <v>358</v>
      </c>
      <c r="J815" s="1" t="str">
        <f>SUBSTITUTE(SUBSTITUTE(SUBSTITUTE("5,776,395.89",".","-"),",","."),"-",",")</f>
        <v>5.776.395,89</v>
      </c>
      <c r="K815" s="2"/>
    </row>
    <row r="816" spans="1:11" ht="63" x14ac:dyDescent="0.25">
      <c r="A816" s="1" t="str">
        <f>"121/2013"</f>
        <v>121/2013</v>
      </c>
      <c r="B816" s="1" t="s">
        <v>26</v>
      </c>
      <c r="C816" s="1" t="s">
        <v>359</v>
      </c>
      <c r="D816" s="2"/>
      <c r="E816" s="2"/>
      <c r="F816" s="1" t="str">
        <f>"16.573.760,70"</f>
        <v>16.573.760,70</v>
      </c>
      <c r="G816" s="1" t="str">
        <f>CONCATENATE("04.03.2013.",CHAR(10),"tijekom 2013.")</f>
        <v>04.03.2013.
tijekom 2013.</v>
      </c>
      <c r="H816" s="1" t="str">
        <f>CONCATENATE("VODOPRIVREDA ZAGREB D.D., ZAGREB",CHAR(10),"POLJO-PROM TRGOVINA I USLUGE, VL. ZLATKO KRIŽANIĆ, ZAGREB")</f>
        <v>VODOPRIVREDA ZAGREB D.D., ZAGREB
POLJO-PROM TRGOVINA I USLUGE, VL. ZLATKO KRIŽANIĆ, ZAGREB</v>
      </c>
      <c r="I816" s="2"/>
      <c r="J816" s="1"/>
      <c r="K816" s="2"/>
    </row>
    <row r="817" spans="1:11" ht="78.75" x14ac:dyDescent="0.25">
      <c r="A817" s="1" t="str">
        <f>"122/2013"</f>
        <v>122/2013</v>
      </c>
      <c r="B817" s="1" t="s">
        <v>14</v>
      </c>
      <c r="C817" s="1" t="s">
        <v>2104</v>
      </c>
      <c r="D817" s="1" t="str">
        <f>CONCATENATE("2606-2012-EMV",CHAR(10),"2012/S 002-0087829 od 05.12.2012.")</f>
        <v>2606-2012-EMV
2012/S 002-0087829 od 05.12.2012.</v>
      </c>
      <c r="E817" s="1" t="s">
        <v>15</v>
      </c>
      <c r="F817" s="1" t="str">
        <f>"977.155,80"</f>
        <v>977.155,80</v>
      </c>
      <c r="G817" s="1" t="str">
        <f>CONCATENATE("06.03.2013.",CHAR(10),"360 dana")</f>
        <v>06.03.2013.
360 dana</v>
      </c>
      <c r="H817" s="1" t="str">
        <f>CONCATENATE("ELICOM D.O.O., ZAGREB",CHAR(10),"GEO GRUPA D.O.O., ZAGREB")</f>
        <v>ELICOM D.O.O., ZAGREB
GEO GRUPA D.O.O., ZAGREB</v>
      </c>
      <c r="I817" s="2"/>
      <c r="J817" s="1"/>
      <c r="K817" s="2"/>
    </row>
    <row r="818" spans="1:11" ht="63" x14ac:dyDescent="0.25">
      <c r="A818" s="1" t="str">
        <f>"123/2013"</f>
        <v>123/2013</v>
      </c>
      <c r="B818" s="1" t="s">
        <v>14</v>
      </c>
      <c r="C818" s="1" t="s">
        <v>2105</v>
      </c>
      <c r="D818" s="1" t="str">
        <f>CONCATENATE("806-2012-EMV",CHAR(10),"2012/S 002-0073010 od 23.10.2012.")</f>
        <v>806-2012-EMV
2012/S 002-0073010 od 23.10.2012.</v>
      </c>
      <c r="E818" s="1" t="s">
        <v>15</v>
      </c>
      <c r="F818" s="1" t="str">
        <f>"96.300,00"</f>
        <v>96.300,00</v>
      </c>
      <c r="G818" s="1" t="str">
        <f>CONCATENATE("06.03.2013.",CHAR(10),"izrada elaborata - 40 dana, glavnog projekta - 30 dana")</f>
        <v>06.03.2013.
izrada elaborata - 40 dana, glavnog projekta - 30 dana</v>
      </c>
      <c r="H818" s="1" t="str">
        <f>CONCATENATE("GEOTEHNIČKI STUDIO D.O.O., ZAGREB",CHAR(10),"ŽELJEZNIČKO PROJEKTNO DRUŠTVO, ZAGREB")</f>
        <v>GEOTEHNIČKI STUDIO D.O.O., ZAGREB
ŽELJEZNIČKO PROJEKTNO DRUŠTVO, ZAGREB</v>
      </c>
      <c r="I818" s="1" t="s">
        <v>269</v>
      </c>
      <c r="J818" s="1" t="str">
        <f>SUBSTITUTE(SUBSTITUTE(SUBSTITUTE("120,375.00",".","-"),",","."),"-",",")</f>
        <v>120.375,00</v>
      </c>
      <c r="K818" s="2"/>
    </row>
    <row r="819" spans="1:11" ht="78.75" x14ac:dyDescent="0.25">
      <c r="A819" s="1" t="str">
        <f>"124/2013"</f>
        <v>124/2013</v>
      </c>
      <c r="B819" s="1" t="s">
        <v>14</v>
      </c>
      <c r="C819" s="1" t="s">
        <v>2106</v>
      </c>
      <c r="D819" s="1" t="str">
        <f>CONCATENATE("505-2012-EMV",CHAR(10),"2012/S 002-0088784 od 07.12.2012.")</f>
        <v>505-2012-EMV
2012/S 002-0088784 od 07.12.2012.</v>
      </c>
      <c r="E819" s="1" t="s">
        <v>15</v>
      </c>
      <c r="F819" s="1" t="str">
        <f>"88.450,00"</f>
        <v>88.450,00</v>
      </c>
      <c r="G819" s="1" t="str">
        <f>CONCATENATE("06.03.2013.",CHAR(10)," od 14. do 29.03.2013.")</f>
        <v>06.03.2013.
 od 14. do 29.03.2013.</v>
      </c>
      <c r="H819" s="1" t="str">
        <f>CONCATENATE("ABC-RENT - OBRT ZA IZNAJMLJIVANJE ŠATORA, UGOSTITELJSKE OPREME I UGOSTITELJSTVO, SVETI IVAN ZELINA")</f>
        <v>ABC-RENT - OBRT ZA IZNAJMLJIVANJE ŠATORA, UGOSTITELJSKE OPREME I UGOSTITELJSTVO, SVETI IVAN ZELINA</v>
      </c>
      <c r="I819" s="1" t="s">
        <v>120</v>
      </c>
      <c r="J819" s="1" t="str">
        <f>SUBSTITUTE(SUBSTITUTE(SUBSTITUTE("110,562.50",".","-"),",","."),"-",",")</f>
        <v>110.562,50</v>
      </c>
      <c r="K819" s="2"/>
    </row>
    <row r="820" spans="1:11" ht="78.75" x14ac:dyDescent="0.25">
      <c r="A820" s="1" t="str">
        <f>"125/2013"</f>
        <v>125/2013</v>
      </c>
      <c r="B820" s="1" t="s">
        <v>14</v>
      </c>
      <c r="C820" s="1" t="s">
        <v>2107</v>
      </c>
      <c r="D820" s="1" t="str">
        <f>CONCATENATE("2878-2012-EMV",CHAR(10),"2012/S 002-0086023 od 30.11.2012.")</f>
        <v>2878-2012-EMV
2012/S 002-0086023 od 30.11.2012.</v>
      </c>
      <c r="E820" s="1" t="s">
        <v>15</v>
      </c>
      <c r="F820" s="1" t="str">
        <f>"105.000,00"</f>
        <v>105.000,00</v>
      </c>
      <c r="G820" s="1" t="str">
        <f>CONCATENATE("06.03.2013.",CHAR(10)," 90 dana")</f>
        <v>06.03.2013.
 90 dana</v>
      </c>
      <c r="H820" s="1" t="str">
        <f>CONCATENATE("KOPIMA D.O.O, ZAGREB",CHAR(10),"MGV D.O.O., ZAGREB",CHAR(10),"PROJEKTNI BIRO NAGLIĆ D.O.O., ZAGREB",CHAR(10),"FANOS D.O.O.,")</f>
        <v>KOPIMA D.O.O, ZAGREB
MGV D.O.O., ZAGREB
PROJEKTNI BIRO NAGLIĆ D.O.O., ZAGREB
FANOS D.O.O.,</v>
      </c>
      <c r="I820" s="2"/>
      <c r="J820" s="1"/>
      <c r="K820" s="2"/>
    </row>
    <row r="821" spans="1:11" ht="78.75" x14ac:dyDescent="0.25">
      <c r="A821" s="1" t="str">
        <f>"126/2013"</f>
        <v>126/2013</v>
      </c>
      <c r="B821" s="1" t="s">
        <v>14</v>
      </c>
      <c r="C821" s="1" t="s">
        <v>2108</v>
      </c>
      <c r="D821" s="1" t="str">
        <f>CONCATENATE("2636-2012-EMV",CHAR(10),"2012/S 002-0078479 od 09.11.2012.")</f>
        <v>2636-2012-EMV
2012/S 002-0078479 od 09.11.2012.</v>
      </c>
      <c r="E821" s="1" t="s">
        <v>15</v>
      </c>
      <c r="F821" s="1" t="str">
        <f>"32.000,00"</f>
        <v>32.000,00</v>
      </c>
      <c r="G821" s="1" t="str">
        <f>CONCATENATE("07.03.2013.",CHAR(10),"prema rokovima i dinamici izvođe. rad. od dana uvođe. u posao izvođ radova do predaje završnog izvje")</f>
        <v>07.03.2013.
prema rokovima i dinamici izvođe. rad. od dana uvođe. u posao izvođ radova do predaje završnog izvje</v>
      </c>
      <c r="H821" s="1" t="str">
        <f>CONCATENATE("JURCON PROJEKT D.O.O., ZAGREB")</f>
        <v>JURCON PROJEKT D.O.O., ZAGREB</v>
      </c>
      <c r="I821" s="1" t="s">
        <v>356</v>
      </c>
      <c r="J821" s="1" t="str">
        <f>SUBSTITUTE(SUBSTITUTE(SUBSTITUTE("40,000.00",".","-"),",","."),"-",",")</f>
        <v>40.000,00</v>
      </c>
      <c r="K821" s="2"/>
    </row>
    <row r="822" spans="1:11" ht="47.25" x14ac:dyDescent="0.25">
      <c r="A822" s="1" t="str">
        <f>"127/2013"</f>
        <v>127/2013</v>
      </c>
      <c r="B822" s="1" t="s">
        <v>14</v>
      </c>
      <c r="C822" s="1" t="s">
        <v>2109</v>
      </c>
      <c r="D822" s="1" t="str">
        <f>CONCATENATE("2971-2012-EMV",CHAR(10),"2013/S 015-0013554 od 15.02.2013.")</f>
        <v>2971-2012-EMV
2013/S 015-0013554 od 15.02.2013.</v>
      </c>
      <c r="E822" s="1" t="s">
        <v>12</v>
      </c>
      <c r="F822" s="1" t="str">
        <f>"400.000,00"</f>
        <v>400.000,00</v>
      </c>
      <c r="G822" s="1" t="str">
        <f>CONCATENATE("07.03.2013.",CHAR(10),"60 dana")</f>
        <v>07.03.2013.
60 dana</v>
      </c>
      <c r="H822" s="1" t="str">
        <f>CONCATENATE("MEŠIĆ COM D.O.O., ZAGREB")</f>
        <v>MEŠIĆ COM D.O.O., ZAGREB</v>
      </c>
      <c r="I822" s="1" t="s">
        <v>193</v>
      </c>
      <c r="J822" s="1" t="str">
        <f>SUBSTITUTE(SUBSTITUTE(SUBSTITUTE("500,000.00",".","-"),",","."),"-",",")</f>
        <v>500.000,00</v>
      </c>
      <c r="K822" s="2"/>
    </row>
    <row r="823" spans="1:11" ht="78.75" x14ac:dyDescent="0.25">
      <c r="A823" s="1" t="str">
        <f>"128/2013"</f>
        <v>128/2013</v>
      </c>
      <c r="B823" s="1" t="s">
        <v>11</v>
      </c>
      <c r="C823" s="1" t="s">
        <v>2110</v>
      </c>
      <c r="D823" s="2"/>
      <c r="E823" s="2"/>
      <c r="F823" s="1" t="str">
        <f>"0,00"</f>
        <v>0,00</v>
      </c>
      <c r="G823" s="1" t="str">
        <f>CONCATENATE("07.03.2013.",CHAR(10),"mijenja se rok isporuke na način da prodavatelj obvezuje isporučivati na benzinskim postajama")</f>
        <v>07.03.2013.
mijenja se rok isporuke na način da prodavatelj obvezuje isporučivati na benzinskim postajama</v>
      </c>
      <c r="H823" s="1" t="str">
        <f>CONCATENATE("LUKOIL CROATIA D.O.O., ZAGREB")</f>
        <v>LUKOIL CROATIA D.O.O., ZAGREB</v>
      </c>
      <c r="I823" s="2"/>
      <c r="J823" s="1"/>
      <c r="K823" s="2"/>
    </row>
    <row r="824" spans="1:11" ht="94.5" x14ac:dyDescent="0.25">
      <c r="A824" s="1" t="str">
        <f>"129/2013"</f>
        <v>129/2013</v>
      </c>
      <c r="B824" s="1" t="s">
        <v>14</v>
      </c>
      <c r="C824" s="1" t="s">
        <v>2111</v>
      </c>
      <c r="D824" s="1" t="str">
        <f>CONCATENATE("3186-2012-EBV",CHAR(10),"2012/S 002-0095327 od 28.12.2012.")</f>
        <v>3186-2012-EBV
2012/S 002-0095327 od 28.12.2012.</v>
      </c>
      <c r="E824" s="1" t="s">
        <v>15</v>
      </c>
      <c r="F824" s="1" t="str">
        <f>"30.240,00"</f>
        <v>30.240,00</v>
      </c>
      <c r="G824" s="1" t="str">
        <f>CONCATENATE("04.03.2013.",CHAR(10)," 12 mjeseci")</f>
        <v>04.03.2013.
 12 mjeseci</v>
      </c>
      <c r="H824" s="1" t="str">
        <f>CONCATENATE("ORYX GRUPA D.O.O., SESVETE")</f>
        <v>ORYX GRUPA D.O.O., SESVETE</v>
      </c>
      <c r="I824" s="1" t="s">
        <v>98</v>
      </c>
      <c r="J824" s="1" t="str">
        <f>SUBSTITUTE(SUBSTITUTE(SUBSTITUTE("37,370.57",".","-"),",","."),"-",",")</f>
        <v>37.370,57</v>
      </c>
      <c r="K824" s="2"/>
    </row>
    <row r="825" spans="1:11" ht="110.25" x14ac:dyDescent="0.25">
      <c r="A825" s="1" t="str">
        <f>"130/2013"</f>
        <v>130/2013</v>
      </c>
      <c r="B825" s="1" t="s">
        <v>14</v>
      </c>
      <c r="C825" s="1" t="s">
        <v>2112</v>
      </c>
      <c r="D825" s="1" t="str">
        <f>CONCATENATE("2836-2012-EMV",CHAR(10),"2012/S 002-0069561, te ispravak 2012/S 014-0089970 od 12.12.2012.,te ispravak 2012/S 014-0092762 od od 12.10.2012.")</f>
        <v>2836-2012-EMV
2012/S 002-0069561, te ispravak 2012/S 014-0089970 od 12.12.2012.,te ispravak 2012/S 014-0092762 od od 12.10.2012.</v>
      </c>
      <c r="E825" s="1" t="s">
        <v>15</v>
      </c>
      <c r="F825" s="1" t="str">
        <f>"916.768,60"</f>
        <v>916.768,60</v>
      </c>
      <c r="G825" s="1" t="str">
        <f>CONCATENATE("07.03.2013.",CHAR(10)," 35 dana")</f>
        <v>07.03.2013.
 35 dana</v>
      </c>
      <c r="H825" s="1" t="str">
        <f>CONCATENATE("SAMOBORKA D.D., SAMOBOR",CHAR(10),"P.G.P. D.O.O., ZAGREB",CHAR(10),"ELEKTROCENTAR PETEK D.O.O., IVANIĆ-GRAD",CHAR(10),"MEIXNER D.O.O., ZAGREB",CHAR(10),"JURIČIĆ INVEST D.O.O., ZAGREB")</f>
        <v>SAMOBORKA D.D., SAMOBOR
P.G.P. D.O.O., ZAGREB
ELEKTROCENTAR PETEK D.O.O., IVANIĆ-GRAD
MEIXNER D.O.O., ZAGREB
JURIČIĆ INVEST D.O.O., ZAGREB</v>
      </c>
      <c r="I825" s="2"/>
      <c r="J825" s="1"/>
      <c r="K825" s="2"/>
    </row>
    <row r="826" spans="1:11" ht="47.25" x14ac:dyDescent="0.25">
      <c r="A826" s="1" t="str">
        <f>"131/2013"</f>
        <v>131/2013</v>
      </c>
      <c r="B826" s="1" t="s">
        <v>14</v>
      </c>
      <c r="C826" s="1" t="s">
        <v>2113</v>
      </c>
      <c r="D826" s="1" t="str">
        <f>CONCATENATE("2544-2012-EMV",CHAR(10),"2012/S 002-0083508 od 23.11.2012.")</f>
        <v>2544-2012-EMV
2012/S 002-0083508 od 23.11.2012.</v>
      </c>
      <c r="E826" s="1" t="s">
        <v>15</v>
      </c>
      <c r="F826" s="1" t="str">
        <f>"639.972,00"</f>
        <v>639.972,00</v>
      </c>
      <c r="G826" s="1" t="str">
        <f>CONCATENATE("08.03.2013.",CHAR(10)," 45 dana")</f>
        <v>08.03.2013.
 45 dana</v>
      </c>
      <c r="H826" s="1" t="str">
        <f>CONCATENATE("GEORAD D.O.O., ZAGREB")</f>
        <v>GEORAD D.O.O., ZAGREB</v>
      </c>
      <c r="I826" s="1" t="s">
        <v>167</v>
      </c>
      <c r="J826" s="1" t="str">
        <f>SUBSTITUTE(SUBSTITUTE(SUBSTITUTE("734,803.16",".","-"),",","."),"-",",")</f>
        <v>734.803,16</v>
      </c>
      <c r="K826" s="2"/>
    </row>
    <row r="827" spans="1:11" ht="47.25" x14ac:dyDescent="0.25">
      <c r="A827" s="1" t="str">
        <f>"132/2013"</f>
        <v>132/2013</v>
      </c>
      <c r="B827" s="1" t="s">
        <v>14</v>
      </c>
      <c r="C827" s="1" t="s">
        <v>2114</v>
      </c>
      <c r="D827" s="1" t="str">
        <f>CONCATENATE("436-2012-EMV",CHAR(10),"2012/S 002-0082866 od 22.11.2012.")</f>
        <v>436-2012-EMV
2012/S 002-0082866 od 22.11.2012.</v>
      </c>
      <c r="E827" s="1" t="s">
        <v>15</v>
      </c>
      <c r="F827" s="1" t="str">
        <f>"741.888,00"</f>
        <v>741.888,00</v>
      </c>
      <c r="G827" s="1" t="str">
        <f>CONCATENATE("08.03.2013.",CHAR(10),"50 dana")</f>
        <v>08.03.2013.
50 dana</v>
      </c>
      <c r="H827" s="1" t="str">
        <f>CONCATENATE("JUKIĆ-DAM D.O.O., OTOK (DALMACIJA)")</f>
        <v>JUKIĆ-DAM D.O.O., OTOK (DALMACIJA)</v>
      </c>
      <c r="I827" s="1" t="s">
        <v>305</v>
      </c>
      <c r="J827" s="1" t="str">
        <f>SUBSTITUTE(SUBSTITUTE(SUBSTITUTE("835,300.66",".","-"),",","."),"-",",")</f>
        <v>835.300,66</v>
      </c>
      <c r="K827" s="2"/>
    </row>
    <row r="828" spans="1:11" ht="110.25" x14ac:dyDescent="0.25">
      <c r="A828" s="1" t="str">
        <f>"133/2013"</f>
        <v>133/2013</v>
      </c>
      <c r="B828" s="1" t="s">
        <v>14</v>
      </c>
      <c r="C828" s="1" t="s">
        <v>2115</v>
      </c>
      <c r="D828" s="1" t="str">
        <f>CONCATENATE("455-2012-EMV",CHAR(10),"2012/S 002-0091642 od 17.12.2012.")</f>
        <v>455-2012-EMV
2012/S 002-0091642 od 17.12.2012.</v>
      </c>
      <c r="E828" s="1" t="s">
        <v>15</v>
      </c>
      <c r="F828" s="1" t="str">
        <f>"276.000,00"</f>
        <v>276.000,00</v>
      </c>
      <c r="G828" s="1" t="str">
        <f>CONCATENATE("08.03.2013.",CHAR(10),"60 dana")</f>
        <v>08.03.2013.
60 dana</v>
      </c>
      <c r="H828" s="1" t="str">
        <f>CONCATENATE("STUDIO A D.O.O., ZAGREB",CHAR(10),"ELEKTRO EKSPERT D.O.O., ZAGREB",CHAR(10),"S. M. INŽENJERING D.O.O., ZAGREB",CHAR(10),"TENZOR D.O.O., ZAGREB",CHAR(10),"INVESTINŽENJERING D.O.O, ZAGREB",CHAR(10),"INSPEKTING D.O.O., ZAGREB",CHAR(10),"PROSPECTUS D.O.O., ZAGREB")</f>
        <v>STUDIO A D.O.O., ZAGREB
ELEKTRO EKSPERT D.O.O., ZAGREB
S. M. INŽENJERING D.O.O., ZAGREB
TENZOR D.O.O., ZAGREB
INVESTINŽENJERING D.O.O, ZAGREB
INSPEKTING D.O.O., ZAGREB
PROSPECTUS D.O.O., ZAGREB</v>
      </c>
      <c r="I828" s="1" t="s">
        <v>351</v>
      </c>
      <c r="J828" s="1" t="str">
        <f>SUBSTITUTE(SUBSTITUTE(SUBSTITUTE("345,000.00",".","-"),",","."),"-",",")</f>
        <v>345.000,00</v>
      </c>
      <c r="K828" s="2"/>
    </row>
    <row r="829" spans="1:11" ht="47.25" x14ac:dyDescent="0.25">
      <c r="A829" s="1" t="str">
        <f>"134/2013"</f>
        <v>134/2013</v>
      </c>
      <c r="B829" s="1" t="s">
        <v>14</v>
      </c>
      <c r="C829" s="1" t="s">
        <v>2116</v>
      </c>
      <c r="D829" s="1" t="str">
        <f>"2876-2012-EMV"</f>
        <v>2876-2012-EMV</v>
      </c>
      <c r="E829" s="1" t="s">
        <v>15</v>
      </c>
      <c r="F829" s="1" t="str">
        <f>"297.992,34"</f>
        <v>297.992,34</v>
      </c>
      <c r="G829" s="1" t="str">
        <f>CONCATENATE("11.03.2013.",CHAR(10),"30 dana")</f>
        <v>11.03.2013.
30 dana</v>
      </c>
      <c r="H829" s="1" t="str">
        <f>CONCATENATE("MEŠIĆ COM D.O.O., ZAGREB")</f>
        <v>MEŠIĆ COM D.O.O., ZAGREB</v>
      </c>
      <c r="I829" s="1" t="s">
        <v>98</v>
      </c>
      <c r="J829" s="1" t="str">
        <f>SUBSTITUTE(SUBSTITUTE(SUBSTITUTE("365,005.96",".","-"),",","."),"-",",")</f>
        <v>365.005,96</v>
      </c>
      <c r="K829" s="2"/>
    </row>
    <row r="830" spans="1:11" ht="47.25" x14ac:dyDescent="0.25">
      <c r="A830" s="1" t="str">
        <f>"135/2013"</f>
        <v>135/2013</v>
      </c>
      <c r="B830" s="1" t="s">
        <v>14</v>
      </c>
      <c r="C830" s="1" t="s">
        <v>2117</v>
      </c>
      <c r="D830" s="1" t="str">
        <f>CONCATENATE("435-2012-EMV",CHAR(10),"2012/S 002-0086936 od 03.12.2012.")</f>
        <v>435-2012-EMV
2012/S 002-0086936 od 03.12.2012.</v>
      </c>
      <c r="E830" s="1" t="s">
        <v>15</v>
      </c>
      <c r="F830" s="1" t="str">
        <f>"234.567,89"</f>
        <v>234.567,89</v>
      </c>
      <c r="G830" s="1" t="str">
        <f>CONCATENATE("12.03.2013.",CHAR(10),"30 dana")</f>
        <v>12.03.2013.
30 dana</v>
      </c>
      <c r="H830" s="1" t="str">
        <f>CONCATENATE("O.K.I. MONT D.O.O., ZAGREB",CHAR(10),"KEMIS-TERMOCLEAN D.O.O., ZAGREB")</f>
        <v>O.K.I. MONT D.O.O., ZAGREB
KEMIS-TERMOCLEAN D.O.O., ZAGREB</v>
      </c>
      <c r="I830" s="1" t="s">
        <v>322</v>
      </c>
      <c r="J830" s="1" t="str">
        <f>SUBSTITUTE(SUBSTITUTE(SUBSTITUTE("196,546.01",".","-"),",","."),"-",",")</f>
        <v>196.546,01</v>
      </c>
      <c r="K830" s="2"/>
    </row>
    <row r="831" spans="1:11" ht="63" x14ac:dyDescent="0.25">
      <c r="A831" s="1" t="str">
        <f>"136/2013"</f>
        <v>136/2013</v>
      </c>
      <c r="B831" s="1" t="s">
        <v>26</v>
      </c>
      <c r="C831" s="1" t="s">
        <v>360</v>
      </c>
      <c r="D831" s="1" t="str">
        <f>"EV-419/09"</f>
        <v>EV-419/09</v>
      </c>
      <c r="E831" s="2"/>
      <c r="F831" s="1" t="str">
        <f>"2.272.633,59"</f>
        <v>2.272.633,59</v>
      </c>
      <c r="G831" s="1" t="str">
        <f>CONCATENATE("12.03.2013.",CHAR(10)," 31.12.2013")</f>
        <v>12.03.2013.
 31.12.2013</v>
      </c>
      <c r="H831" s="1" t="str">
        <f>CONCATENATE("BIRODOM D.O.O., LUČKO",CHAR(10),"TIP-ZAGREB D.O.O., ZAGREB",CHAR(10),"TIMI D.O.O., ZAGREB",CHAR(10),"ZVIBOR D.O.O., ZAGREB")</f>
        <v>BIRODOM D.O.O., LUČKO
TIP-ZAGREB D.O.O., ZAGREB
TIMI D.O.O., ZAGREB
ZVIBOR D.O.O., ZAGREB</v>
      </c>
      <c r="I831" s="1" t="s">
        <v>37</v>
      </c>
      <c r="J831" s="1" t="str">
        <f>SUBSTITUTE(SUBSTITUTE(SUBSTITUTE("2,838,204.68",".","-"),",","."),"-",",")</f>
        <v>2.838.204,68</v>
      </c>
      <c r="K831" s="2"/>
    </row>
    <row r="832" spans="1:11" ht="47.25" x14ac:dyDescent="0.25">
      <c r="A832" s="1" t="str">
        <f>"137/2013"</f>
        <v>137/2013</v>
      </c>
      <c r="B832" s="1" t="s">
        <v>14</v>
      </c>
      <c r="C832" s="1" t="s">
        <v>2118</v>
      </c>
      <c r="D832" s="1" t="str">
        <f>CONCATENATE("2970-2012-EMV",CHAR(10),"2013/S 002-0001418 od 09.01.2013.")</f>
        <v>2970-2012-EMV
2013/S 002-0001418 od 09.01.2013.</v>
      </c>
      <c r="E832" s="1" t="s">
        <v>15</v>
      </c>
      <c r="F832" s="1" t="str">
        <f>"157.903,92"</f>
        <v>157.903,92</v>
      </c>
      <c r="G832" s="1" t="str">
        <f>CONCATENATE("15.03.2013.",CHAR(10),"60 dana")</f>
        <v>15.03.2013.
60 dana</v>
      </c>
      <c r="H832" s="1" t="str">
        <f>CONCATENATE("BRESTJE GRADNJA D.O.O., SESVETE")</f>
        <v>BRESTJE GRADNJA D.O.O., SESVETE</v>
      </c>
      <c r="I832" s="1" t="s">
        <v>361</v>
      </c>
      <c r="J832" s="1" t="str">
        <f>SUBSTITUTE(SUBSTITUTE(SUBSTITUTE("172,646.20",".","-"),",","."),"-",",")</f>
        <v>172.646,20</v>
      </c>
      <c r="K832" s="2"/>
    </row>
    <row r="833" spans="1:11" ht="63" x14ac:dyDescent="0.25">
      <c r="A833" s="1" t="str">
        <f>"A-27/2013"</f>
        <v>A-27/2013</v>
      </c>
      <c r="B833" s="1" t="s">
        <v>11</v>
      </c>
      <c r="C833" s="1" t="s">
        <v>2119</v>
      </c>
      <c r="D833" s="1" t="str">
        <f>"1879-2012-EMV"</f>
        <v>1879-2012-EMV</v>
      </c>
      <c r="E833" s="2"/>
      <c r="F833" s="1" t="str">
        <f>"0,00"</f>
        <v>0,00</v>
      </c>
      <c r="G833" s="1" t="str">
        <f>CONCATENATE("15.03.2013.",CHAR(10),"30.04.2013.")</f>
        <v>15.03.2013.
30.04.2013.</v>
      </c>
      <c r="H833" s="1" t="str">
        <f>CONCATENATE("GEORAD D.O.O., ZAGREB",CHAR(10),"GEODIST D.O.O., ZAGREB")</f>
        <v>GEORAD D.O.O., ZAGREB
GEODIST D.O.O., ZAGREB</v>
      </c>
      <c r="I833" s="2"/>
      <c r="J833" s="1"/>
      <c r="K833" s="2"/>
    </row>
    <row r="834" spans="1:11" ht="63" x14ac:dyDescent="0.25">
      <c r="A834" s="1" t="str">
        <f>"138/2013"</f>
        <v>138/2013</v>
      </c>
      <c r="B834" s="1" t="s">
        <v>14</v>
      </c>
      <c r="C834" s="1" t="s">
        <v>2120</v>
      </c>
      <c r="D834" s="1" t="str">
        <f>CONCATENATE("738-2012-EMV",CHAR(10),"2012/S 002-0025054 od 29.05.2012.")</f>
        <v>738-2012-EMV
2012/S 002-0025054 od 29.05.2012.</v>
      </c>
      <c r="E834" s="1" t="s">
        <v>15</v>
      </c>
      <c r="F834" s="1" t="str">
        <f>"776.808,50"</f>
        <v>776.808,50</v>
      </c>
      <c r="G834" s="1" t="str">
        <f>CONCATENATE("18.03.2013.",CHAR(10),"15 mjeseci")</f>
        <v>18.03.2013.
15 mjeseci</v>
      </c>
      <c r="H834" s="1" t="str">
        <f>CONCATENATE("GRADNJAPROJEKT- ZAGREB D.O.O., ZAGREB",CHAR(10),"LJEVAONICA UMJETNINA ALU D.O.O., ZAGREB")</f>
        <v>GRADNJAPROJEKT- ZAGREB D.O.O., ZAGREB
LJEVAONICA UMJETNINA ALU D.O.O., ZAGREB</v>
      </c>
      <c r="I834" s="2"/>
      <c r="J834" s="1"/>
      <c r="K834" s="2"/>
    </row>
    <row r="835" spans="1:11" ht="47.25" x14ac:dyDescent="0.25">
      <c r="A835" s="1" t="str">
        <f>"139/2013"</f>
        <v>139/2013</v>
      </c>
      <c r="B835" s="1" t="s">
        <v>14</v>
      </c>
      <c r="C835" s="1" t="s">
        <v>2121</v>
      </c>
      <c r="D835" s="1" t="str">
        <f>CONCATENATE("2593-2012-EMV",CHAR(10),"2012/S 002-0085977 od 29.11.2012.")</f>
        <v>2593-2012-EMV
2012/S 002-0085977 od 29.11.2012.</v>
      </c>
      <c r="E835" s="1" t="s">
        <v>15</v>
      </c>
      <c r="F835" s="1" t="str">
        <f>"24.700,00"</f>
        <v>24.700,00</v>
      </c>
      <c r="G835" s="1" t="str">
        <f>CONCATENATE("18.03.2013.",CHAR(10),"180 dana")</f>
        <v>18.03.2013.
180 dana</v>
      </c>
      <c r="H835" s="1" t="str">
        <f>CONCATENATE("PROJEKTNI BIRO NAGLIĆ D.O.O., ZAGREB")</f>
        <v>PROJEKTNI BIRO NAGLIĆ D.O.O., ZAGREB</v>
      </c>
      <c r="I835" s="2"/>
      <c r="J835" s="1"/>
      <c r="K835" s="2"/>
    </row>
    <row r="836" spans="1:11" ht="78.75" x14ac:dyDescent="0.25">
      <c r="A836" s="1" t="str">
        <f>"140/2013"</f>
        <v>140/2013</v>
      </c>
      <c r="B836" s="1" t="s">
        <v>14</v>
      </c>
      <c r="C836" s="1" t="s">
        <v>2122</v>
      </c>
      <c r="D836" s="1" t="str">
        <f>CONCATENATE("2733-2012-EMV",CHAR(10),"2012/S 002-0069246 OD 11.10.2012., te ispravak 2012/S 014-0074992 od 30.10.2012.")</f>
        <v>2733-2012-EMV
2012/S 002-0069246 OD 11.10.2012., te ispravak 2012/S 014-0074992 od 30.10.2012.</v>
      </c>
      <c r="E836" s="1" t="s">
        <v>15</v>
      </c>
      <c r="F836" s="1" t="str">
        <f>"498.000,00"</f>
        <v>498.000,00</v>
      </c>
      <c r="G836" s="1" t="str">
        <f>CONCATENATE("18.03.2013.",CHAR(10),"15 dana")</f>
        <v>18.03.2013.
15 dana</v>
      </c>
      <c r="H836" s="1" t="str">
        <f>CONCATENATE("H.K.O. D.O.O., ZAGREB")</f>
        <v>H.K.O. D.O.O., ZAGREB</v>
      </c>
      <c r="I836" s="1" t="s">
        <v>362</v>
      </c>
      <c r="J836" s="1" t="str">
        <f>SUBSTITUTE(SUBSTITUTE(SUBSTITUTE("622,500.00",".","-"),",","."),"-",",")</f>
        <v>622.500,00</v>
      </c>
      <c r="K836" s="2"/>
    </row>
    <row r="837" spans="1:11" ht="78.75" x14ac:dyDescent="0.25">
      <c r="A837" s="1" t="str">
        <f>"141/2013"</f>
        <v>141/2013</v>
      </c>
      <c r="B837" s="1" t="s">
        <v>14</v>
      </c>
      <c r="C837" s="1" t="s">
        <v>2123</v>
      </c>
      <c r="D837" s="1" t="str">
        <f>CONCATENATE("859-2012-EMV",CHAR(10),"2013/S 015-0019462 od 04.03.2013.")</f>
        <v>859-2012-EMV
2013/S 015-0019462 od 04.03.2013.</v>
      </c>
      <c r="E837" s="1" t="s">
        <v>12</v>
      </c>
      <c r="F837" s="1" t="str">
        <f>"247.200,00"</f>
        <v>247.200,00</v>
      </c>
      <c r="G837" s="1" t="str">
        <f>CONCATENATE("20.03.2013.",CHAR(10)," 90 dana")</f>
        <v>20.03.2013.
 90 dana</v>
      </c>
      <c r="H837" s="1" t="str">
        <f>CONCATENATE("ŽELJEZNIČKO PROJEKTNO DRUŠTVO, ZAGREB",CHAR(10),"URED OVLAŠTENOG INŽENJERA STROJARSTVA DAVOR DABINOVIĆ, ZAGREB")</f>
        <v>ŽELJEZNIČKO PROJEKTNO DRUŠTVO, ZAGREB
URED OVLAŠTENOG INŽENJERA STROJARSTVA DAVOR DABINOVIĆ, ZAGREB</v>
      </c>
      <c r="I837" s="1" t="s">
        <v>363</v>
      </c>
      <c r="J837" s="1" t="str">
        <f>SUBSTITUTE(SUBSTITUTE(SUBSTITUTE("309,000.00",".","-"),",","."),"-",",")</f>
        <v>309.000,00</v>
      </c>
      <c r="K837" s="2"/>
    </row>
    <row r="838" spans="1:11" ht="63" x14ac:dyDescent="0.25">
      <c r="A838" s="1" t="str">
        <f>"142/2013"</f>
        <v>142/2013</v>
      </c>
      <c r="B838" s="1" t="s">
        <v>26</v>
      </c>
      <c r="C838" s="1" t="s">
        <v>2124</v>
      </c>
      <c r="D838" s="1" t="str">
        <f>"774-2012-EMV"</f>
        <v>774-2012-EMV</v>
      </c>
      <c r="E838" s="1" t="s">
        <v>27</v>
      </c>
      <c r="F838" s="1" t="str">
        <f>"269.400,00"</f>
        <v>269.400,00</v>
      </c>
      <c r="G838" s="1" t="str">
        <f>CONCATENATE("21.03.2013.",CHAR(10)," 1 godina")</f>
        <v>21.03.2013.
 1 godina</v>
      </c>
      <c r="H838" s="1" t="str">
        <f>CONCATENATE("HIDROSTRES D.O.O., ZAGREB")</f>
        <v>HIDROSTRES D.O.O., ZAGREB</v>
      </c>
      <c r="I838" s="2"/>
      <c r="J838" s="1"/>
      <c r="K838" s="2"/>
    </row>
    <row r="839" spans="1:11" ht="47.25" x14ac:dyDescent="0.25">
      <c r="A839" s="1" t="str">
        <f>"143/2013"</f>
        <v>143/2013</v>
      </c>
      <c r="B839" s="1" t="s">
        <v>14</v>
      </c>
      <c r="C839" s="1" t="s">
        <v>2125</v>
      </c>
      <c r="D839" s="1" t="str">
        <f>CONCATENATE("396-2012-EMV",CHAR(10),"2012/S 002-0085982 od 29.11.2012.")</f>
        <v>396-2012-EMV
2012/S 002-0085982 od 29.11.2012.</v>
      </c>
      <c r="E839" s="1" t="s">
        <v>15</v>
      </c>
      <c r="F839" s="1" t="str">
        <f>"139.125,00"</f>
        <v>139.125,00</v>
      </c>
      <c r="G839" s="1" t="str">
        <f>CONCATENATE("21.03.2013.",CHAR(10),"60 dana")</f>
        <v>21.03.2013.
60 dana</v>
      </c>
      <c r="H839" s="1" t="str">
        <f>CONCATENATE("GEORAD D.O.O., ZAGREB")</f>
        <v>GEORAD D.O.O., ZAGREB</v>
      </c>
      <c r="I839" s="1" t="s">
        <v>364</v>
      </c>
      <c r="J839" s="1" t="str">
        <f>SUBSTITUTE(SUBSTITUTE(SUBSTITUTE("173,906.25",".","-"),",","."),"-",",")</f>
        <v>173.906,25</v>
      </c>
      <c r="K839" s="2"/>
    </row>
    <row r="840" spans="1:11" ht="47.25" x14ac:dyDescent="0.25">
      <c r="A840" s="1" t="str">
        <f>"144/2013"</f>
        <v>144/2013</v>
      </c>
      <c r="B840" s="1" t="s">
        <v>14</v>
      </c>
      <c r="C840" s="1" t="s">
        <v>2126</v>
      </c>
      <c r="D840" s="1" t="str">
        <f>CONCATENATE("397-2012-EMV",CHAR(10),"2012/S 002-0082843 od 22.11.2012.")</f>
        <v>397-2012-EMV
2012/S 002-0082843 od 22.11.2012.</v>
      </c>
      <c r="E840" s="1" t="s">
        <v>15</v>
      </c>
      <c r="F840" s="1" t="str">
        <f>"409.017,60"</f>
        <v>409.017,60</v>
      </c>
      <c r="G840" s="1" t="str">
        <f>CONCATENATE("22.03.2013.",CHAR(10),"60 dana")</f>
        <v>22.03.2013.
60 dana</v>
      </c>
      <c r="H840" s="1" t="str">
        <f>CONCATENATE("P.G.P. D.O.O., ZAGREB",CHAR(10),"JURIČIĆ INVEST D.O.O., ZAGREB",CHAR(10),"MEIXNER D.O.O., ZAGREB")</f>
        <v>P.G.P. D.O.O., ZAGREB
JURIČIĆ INVEST D.O.O., ZAGREB
MEIXNER D.O.O., ZAGREB</v>
      </c>
      <c r="I840" s="1" t="s">
        <v>365</v>
      </c>
      <c r="J840" s="1" t="str">
        <f>SUBSTITUTE(SUBSTITUTE(SUBSTITUTE("509,545.04",".","-"),",","."),"-",",")</f>
        <v>509.545,04</v>
      </c>
      <c r="K840" s="2"/>
    </row>
    <row r="841" spans="1:11" ht="47.25" x14ac:dyDescent="0.25">
      <c r="A841" s="1" t="str">
        <f>"145/2013"</f>
        <v>145/2013</v>
      </c>
      <c r="B841" s="1" t="s">
        <v>14</v>
      </c>
      <c r="C841" s="1" t="s">
        <v>2127</v>
      </c>
      <c r="D841" s="1" t="str">
        <f>CONCATENATE("377-2012-EMV",CHAR(10),"2012/S 002-0000327 od 04.01.2013.")</f>
        <v>377-2012-EMV
2012/S 002-0000327 od 04.01.2013.</v>
      </c>
      <c r="E841" s="1" t="s">
        <v>15</v>
      </c>
      <c r="F841" s="1" t="str">
        <f>"792.203,40"</f>
        <v>792.203,40</v>
      </c>
      <c r="G841" s="1" t="str">
        <f>CONCATENATE("22.03.2013.",CHAR(10),"90 dana")</f>
        <v>22.03.2013.
90 dana</v>
      </c>
      <c r="H841" s="1" t="str">
        <f>CONCATENATE("HM-PATRIA D.O.O., ZAGREB",CHAR(10),"BEMING D.O.O., ZAGREB")</f>
        <v>HM-PATRIA D.O.O., ZAGREB
BEMING D.O.O., ZAGREB</v>
      </c>
      <c r="I841" s="1" t="s">
        <v>252</v>
      </c>
      <c r="J841" s="1" t="str">
        <f>SUBSTITUTE(SUBSTITUTE(SUBSTITUTE("964,394.47",".","-"),",","."),"-",",")</f>
        <v>964.394,47</v>
      </c>
      <c r="K841" s="2"/>
    </row>
    <row r="842" spans="1:11" ht="63" x14ac:dyDescent="0.25">
      <c r="A842" s="1" t="str">
        <f>"146/2013"</f>
        <v>146/2013</v>
      </c>
      <c r="B842" s="1" t="s">
        <v>14</v>
      </c>
      <c r="C842" s="1" t="s">
        <v>2128</v>
      </c>
      <c r="D842" s="1" t="str">
        <f>CONCATENATE("2469-2012-EMV",CHAR(10),"2012/S 002-0084231 od 26.11.2012.")</f>
        <v>2469-2012-EMV
2012/S 002-0084231 od 26.11.2012.</v>
      </c>
      <c r="E842" s="1" t="s">
        <v>15</v>
      </c>
      <c r="F842" s="1" t="str">
        <f>"24.640,00"</f>
        <v>24.640,00</v>
      </c>
      <c r="G842" s="1" t="str">
        <f>CONCATENATE("22.03.2013.",CHAR(10),"prema rokovima i dinamici izvođenja radova, od dana uvođenja u posao izvođ. radova")</f>
        <v>22.03.2013.
prema rokovima i dinamici izvođenja radova, od dana uvođenja u posao izvođ. radova</v>
      </c>
      <c r="H842" s="1" t="str">
        <f>CONCATENATE("GRADIR D.O.O., ZAGREB")</f>
        <v>GRADIR D.O.O., ZAGREB</v>
      </c>
      <c r="I842" s="2"/>
      <c r="J842" s="1"/>
      <c r="K842" s="2"/>
    </row>
    <row r="843" spans="1:11" ht="47.25" x14ac:dyDescent="0.25">
      <c r="A843" s="1" t="str">
        <f>"147/2013"</f>
        <v>147/2013</v>
      </c>
      <c r="B843" s="1" t="s">
        <v>14</v>
      </c>
      <c r="C843" s="1" t="s">
        <v>2129</v>
      </c>
      <c r="D843" s="1" t="str">
        <f>CONCATENATE("3134-2012-EMV",CHAR(10),"2013/S 015-0017226 od 26.02.2013.")</f>
        <v>3134-2012-EMV
2013/S 015-0017226 od 26.02.2013.</v>
      </c>
      <c r="E843" s="1" t="s">
        <v>12</v>
      </c>
      <c r="F843" s="1" t="str">
        <f>"122.119,66"</f>
        <v>122.119,66</v>
      </c>
      <c r="G843" s="1" t="str">
        <f>CONCATENATE("25.03.2013.",CHAR(10),"45 dana")</f>
        <v>25.03.2013.
45 dana</v>
      </c>
      <c r="H843" s="1" t="str">
        <f>CONCATENATE("THYSSENKRUPP DIZALA D.O.O., ZAGREB")</f>
        <v>THYSSENKRUPP DIZALA D.O.O., ZAGREB</v>
      </c>
      <c r="I843" s="1" t="s">
        <v>158</v>
      </c>
      <c r="J843" s="1" t="str">
        <f>SUBSTITUTE(SUBSTITUTE(SUBSTITUTE("152,649.58",".","-"),",","."),"-",",")</f>
        <v>152.649,58</v>
      </c>
      <c r="K843" s="2"/>
    </row>
    <row r="844" spans="1:11" ht="47.25" x14ac:dyDescent="0.25">
      <c r="A844" s="1" t="str">
        <f>"148/2013"</f>
        <v>148/2013</v>
      </c>
      <c r="B844" s="1" t="s">
        <v>14</v>
      </c>
      <c r="C844" s="1" t="s">
        <v>2130</v>
      </c>
      <c r="D844" s="1" t="str">
        <f>CONCATENATE("2473-2012-EMV",CHAR(10),"2012/S 002-0084056 od 26.11.2012.")</f>
        <v>2473-2012-EMV
2012/S 002-0084056 od 26.11.2012.</v>
      </c>
      <c r="E844" s="1" t="s">
        <v>15</v>
      </c>
      <c r="F844" s="1" t="str">
        <f>"78.000,00"</f>
        <v>78.000,00</v>
      </c>
      <c r="G844" s="1" t="str">
        <f>CONCATENATE("25.03.2013.",CHAR(10),"60 dana")</f>
        <v>25.03.2013.
60 dana</v>
      </c>
      <c r="H844" s="1" t="str">
        <f>CONCATENATE("EKO-PLAN D.O.O., ZAGREB",CHAR(10),"MJERNIK LIMA D.O.O., ZAGREB",CHAR(10),"LAUREUS PROJEKT D.O.O., ZAGREB")</f>
        <v>EKO-PLAN D.O.O., ZAGREB
MJERNIK LIMA D.O.O., ZAGREB
LAUREUS PROJEKT D.O.O., ZAGREB</v>
      </c>
      <c r="I844" s="2"/>
      <c r="J844" s="1"/>
      <c r="K844" s="2"/>
    </row>
    <row r="845" spans="1:11" ht="63" x14ac:dyDescent="0.25">
      <c r="A845" s="1" t="str">
        <f>"149/2013"</f>
        <v>149/2013</v>
      </c>
      <c r="B845" s="1" t="s">
        <v>136</v>
      </c>
      <c r="C845" s="1" t="s">
        <v>2131</v>
      </c>
      <c r="D845" s="1" t="str">
        <f>CONCATENATE("964-2012-EMV",CHAR(10),"2012/S 002-0086482 od 30.11.2012.")</f>
        <v>964-2012-EMV
2012/S 002-0086482 od 30.11.2012.</v>
      </c>
      <c r="E845" s="1" t="s">
        <v>366</v>
      </c>
      <c r="F845" s="1" t="str">
        <f>"1.246.500,00"</f>
        <v>1.246.500,00</v>
      </c>
      <c r="G845" s="1" t="str">
        <f>CONCATENATE("27.03.2013.",CHAR(10),"4 godine")</f>
        <v>27.03.2013.
4 godine</v>
      </c>
      <c r="H845" s="1" t="str">
        <f>CONCATENATE("OBUĆA VIKO D.O.O., VARAŽDIN",CHAR(10),"INKOP OBUĆA D.O.O., POZNANOVEC",CHAR(10),"JELEN PROFESSIONAL D.O.O., ČAKOVEC")</f>
        <v>OBUĆA VIKO D.O.O., VARAŽDIN
INKOP OBUĆA D.O.O., POZNANOVEC
JELEN PROFESSIONAL D.O.O., ČAKOVEC</v>
      </c>
      <c r="I845" s="2"/>
      <c r="J845" s="1"/>
      <c r="K845" s="2"/>
    </row>
    <row r="846" spans="1:11" ht="47.25" x14ac:dyDescent="0.25">
      <c r="A846" s="1" t="str">
        <f>"150/2013"</f>
        <v>150/2013</v>
      </c>
      <c r="B846" s="1" t="s">
        <v>14</v>
      </c>
      <c r="C846" s="1" t="s">
        <v>2132</v>
      </c>
      <c r="D846" s="1" t="str">
        <f>CONCATENATE("2592-2012-EMV",CHAR(10),"2012/S 002-0085991 od 29.11.2012.")</f>
        <v>2592-2012-EMV
2012/S 002-0085991 od 29.11.2012.</v>
      </c>
      <c r="E846" s="1" t="s">
        <v>15</v>
      </c>
      <c r="F846" s="1" t="str">
        <f>"27.900,00"</f>
        <v>27.900,00</v>
      </c>
      <c r="G846" s="1" t="str">
        <f>CONCATENATE("27.03.2013.",CHAR(10),"180 dana")</f>
        <v>27.03.2013.
180 dana</v>
      </c>
      <c r="H846" s="1" t="str">
        <f>CONCATENATE("PROJEKTNI BIRO NAGLIĆ D.O.O., ZAGREB")</f>
        <v>PROJEKTNI BIRO NAGLIĆ D.O.O., ZAGREB</v>
      </c>
      <c r="I846" s="2"/>
      <c r="J846" s="1"/>
      <c r="K846" s="2"/>
    </row>
    <row r="847" spans="1:11" ht="47.25" x14ac:dyDescent="0.25">
      <c r="A847" s="1" t="str">
        <f>"151/2013"</f>
        <v>151/2013</v>
      </c>
      <c r="B847" s="1" t="s">
        <v>14</v>
      </c>
      <c r="C847" s="1" t="s">
        <v>2133</v>
      </c>
      <c r="D847" s="1" t="str">
        <f>CONCATENATE("445-2012-EMV",CHAR(10),"2012/S 002-0093823 od 21.12.2012.")</f>
        <v>445-2012-EMV
2012/S 002-0093823 od 21.12.2012.</v>
      </c>
      <c r="E847" s="1" t="s">
        <v>15</v>
      </c>
      <c r="F847" s="1" t="str">
        <f>"518.178,31"</f>
        <v>518.178,31</v>
      </c>
      <c r="G847" s="1" t="str">
        <f>CONCATENATE("28.03.2013.",CHAR(10),"120 dana")</f>
        <v>28.03.2013.
120 dana</v>
      </c>
      <c r="H847" s="1" t="str">
        <f>CONCATENATE("AG PLANUM D.O.O., ZAGREB")</f>
        <v>AG PLANUM D.O.O., ZAGREB</v>
      </c>
      <c r="I847" s="1" t="s">
        <v>192</v>
      </c>
      <c r="J847" s="1" t="str">
        <f>SUBSTITUTE(SUBSTITUTE(SUBSTITUTE("647,722.88",".","-"),",","."),"-",",")</f>
        <v>647.722,88</v>
      </c>
      <c r="K847" s="2"/>
    </row>
    <row r="848" spans="1:11" ht="47.25" x14ac:dyDescent="0.25">
      <c r="A848" s="1" t="str">
        <f>"152/2013"</f>
        <v>152/2013</v>
      </c>
      <c r="B848" s="1" t="s">
        <v>26</v>
      </c>
      <c r="C848" s="1" t="s">
        <v>2134</v>
      </c>
      <c r="D848" s="1" t="str">
        <f>"411-2012-EVV"</f>
        <v>411-2012-EVV</v>
      </c>
      <c r="E848" s="1" t="s">
        <v>27</v>
      </c>
      <c r="F848" s="1" t="str">
        <f>"636.600,00"</f>
        <v>636.600,00</v>
      </c>
      <c r="G848" s="1" t="str">
        <f>CONCATENATE("28.03.2013.",CHAR(10),"tijekom 12 mjeseci")</f>
        <v>28.03.2013.
tijekom 12 mjeseci</v>
      </c>
      <c r="H848" s="1" t="str">
        <f>CONCATENATE("KEMIS-TERMOCLEAN D.O.O., ZAGREB")</f>
        <v>KEMIS-TERMOCLEAN D.O.O., ZAGREB</v>
      </c>
      <c r="I848" s="1" t="s">
        <v>367</v>
      </c>
      <c r="J848" s="1" t="str">
        <f>SUBSTITUTE(SUBSTITUTE(SUBSTITUTE("472,821.70",".","-"),",","."),"-",",")</f>
        <v>472.821,70</v>
      </c>
      <c r="K848" s="2"/>
    </row>
    <row r="849" spans="1:11" ht="47.25" x14ac:dyDescent="0.25">
      <c r="A849" s="1" t="str">
        <f>"153/2013"</f>
        <v>153/2013</v>
      </c>
      <c r="B849" s="1" t="s">
        <v>14</v>
      </c>
      <c r="C849" s="1" t="s">
        <v>2135</v>
      </c>
      <c r="D849" s="1" t="str">
        <f>CONCATENATE("1171-2013-EMV",CHAR(10),"2013/S 002-0015752 od 21.02.2013.")</f>
        <v>1171-2013-EMV
2013/S 002-0015752 od 21.02.2013.</v>
      </c>
      <c r="E849" s="1" t="s">
        <v>15</v>
      </c>
      <c r="F849" s="1" t="str">
        <f>"1.921.569,05"</f>
        <v>1.921.569,05</v>
      </c>
      <c r="G849" s="1" t="str">
        <f>CONCATENATE("28.03.2013.",CHAR(10),"3 mjeseca")</f>
        <v>28.03.2013.
3 mjeseca</v>
      </c>
      <c r="H849" s="1" t="str">
        <f>CONCATENATE("ENERGOREMONT D.O.O., KARLOVAC",CHAR(10),"TEHNOEKSPERT D.O.O., ZAGREB")</f>
        <v>ENERGOREMONT D.O.O., KARLOVAC
TEHNOEKSPERT D.O.O., ZAGREB</v>
      </c>
      <c r="I849" s="2"/>
      <c r="J849" s="1"/>
      <c r="K849" s="2"/>
    </row>
    <row r="850" spans="1:11" ht="47.25" x14ac:dyDescent="0.25">
      <c r="A850" s="1" t="str">
        <f>"154/2013"</f>
        <v>154/2013</v>
      </c>
      <c r="B850" s="1" t="s">
        <v>14</v>
      </c>
      <c r="C850" s="1" t="s">
        <v>2136</v>
      </c>
      <c r="D850" s="1" t="str">
        <f>CONCATENATE("3131-2012-EMV",CHAR(10),"2013/S 002-0001599 od 10.01.2013.")</f>
        <v>3131-2012-EMV
2013/S 002-0001599 od 10.01.2013.</v>
      </c>
      <c r="E850" s="1" t="s">
        <v>15</v>
      </c>
      <c r="F850" s="1" t="str">
        <f>"105.255,00"</f>
        <v>105.255,00</v>
      </c>
      <c r="G850" s="1" t="str">
        <f>CONCATENATE("29.03.2013.",CHAR(10),"2 mjeseca")</f>
        <v>29.03.2013.
2 mjeseca</v>
      </c>
      <c r="H850" s="1" t="str">
        <f>CONCATENATE("HEDOM D.O.O., ZAGREB")</f>
        <v>HEDOM D.O.O., ZAGREB</v>
      </c>
      <c r="I850" s="1" t="s">
        <v>335</v>
      </c>
      <c r="J850" s="1" t="str">
        <f>SUBSTITUTE(SUBSTITUTE(SUBSTITUTE("131,452.84",".","-"),",","."),"-",",")</f>
        <v>131.452,84</v>
      </c>
      <c r="K850" s="2"/>
    </row>
    <row r="851" spans="1:11" ht="47.25" x14ac:dyDescent="0.25">
      <c r="A851" s="1" t="str">
        <f>"155/2013"</f>
        <v>155/2013</v>
      </c>
      <c r="B851" s="1" t="s">
        <v>14</v>
      </c>
      <c r="C851" s="1" t="s">
        <v>2137</v>
      </c>
      <c r="D851" s="1" t="str">
        <f>CONCATENATE("406-2012-EMV",CHAR(10),"2012/S 002-0080499 od 15.11.2012.")</f>
        <v>406-2012-EMV
2012/S 002-0080499 od 15.11.2012.</v>
      </c>
      <c r="E851" s="1" t="s">
        <v>15</v>
      </c>
      <c r="F851" s="1" t="str">
        <f>"1.378.006,52"</f>
        <v>1.378.006,52</v>
      </c>
      <c r="G851" s="1" t="str">
        <f>CONCATENATE("29.03.2013.",CHAR(10),"60 dana")</f>
        <v>29.03.2013.
60 dana</v>
      </c>
      <c r="H851" s="1" t="str">
        <f>CONCATENATE("TIM - GRADNJA D.O.O., ZAGREB",CHAR(10),"C.I.A.K. D.O.O., ZAGREB")</f>
        <v>TIM - GRADNJA D.O.O., ZAGREB
C.I.A.K. D.O.O., ZAGREB</v>
      </c>
      <c r="I851" s="1" t="s">
        <v>368</v>
      </c>
      <c r="J851" s="1" t="str">
        <f>SUBSTITUTE(SUBSTITUTE(SUBSTITUTE("1,445,091.41",".","-"),",","."),"-",",")</f>
        <v>1.445.091,41</v>
      </c>
      <c r="K851" s="2"/>
    </row>
    <row r="852" spans="1:11" ht="63" x14ac:dyDescent="0.25">
      <c r="A852" s="1" t="str">
        <f>"156/2013"</f>
        <v>156/2013</v>
      </c>
      <c r="B852" s="1" t="s">
        <v>14</v>
      </c>
      <c r="C852" s="1" t="s">
        <v>2138</v>
      </c>
      <c r="D852" s="1" t="str">
        <f>CONCATENATE("2908-2012-EMV",CHAR(10),"2012/S 002-0095605 od 31.12.2012.")</f>
        <v>2908-2012-EMV
2012/S 002-0095605 od 31.12.2012.</v>
      </c>
      <c r="E852" s="1" t="s">
        <v>15</v>
      </c>
      <c r="F852" s="1" t="str">
        <f>"89.000,00"</f>
        <v>89.000,00</v>
      </c>
      <c r="G852" s="1" t="str">
        <f>CONCATENATE("29.03.2013.",CHAR(10),"120 dana")</f>
        <v>29.03.2013.
120 dana</v>
      </c>
      <c r="H852" s="1" t="str">
        <f>CONCATENATE("EKO-PLAN D.O.O., ZAGREB",CHAR(10),"LAUREUS PROJEKT D.O.O., ZAGREB",CHAR(10),"DRUGI FORMAT D.O.O., ZAGREB",CHAR(10),"MHM-PROJEKT D.O.O., ZAGREB")</f>
        <v>EKO-PLAN D.O.O., ZAGREB
LAUREUS PROJEKT D.O.O., ZAGREB
DRUGI FORMAT D.O.O., ZAGREB
MHM-PROJEKT D.O.O., ZAGREB</v>
      </c>
      <c r="I852" s="2"/>
      <c r="J852" s="1"/>
      <c r="K852" s="2"/>
    </row>
    <row r="853" spans="1:11" ht="47.25" x14ac:dyDescent="0.25">
      <c r="A853" s="1" t="str">
        <f>"157/2013"</f>
        <v>157/2013</v>
      </c>
      <c r="B853" s="1" t="s">
        <v>136</v>
      </c>
      <c r="C853" s="1" t="s">
        <v>2139</v>
      </c>
      <c r="D853" s="1" t="str">
        <f>CONCATENATE("19-2012-EVV",CHAR(10),"2012/S 002-0083096 od 22.11.2012.")</f>
        <v>19-2012-EVV
2012/S 002-0083096 od 22.11.2012.</v>
      </c>
      <c r="E853" s="1" t="s">
        <v>366</v>
      </c>
      <c r="F853" s="1" t="str">
        <f>"4.809.646,00"</f>
        <v>4.809.646,00</v>
      </c>
      <c r="G853" s="1" t="str">
        <f>CONCATENATE("29.03.2013.",CHAR(10),"2 godine")</f>
        <v>29.03.2013.
2 godine</v>
      </c>
      <c r="H853" s="1" t="str">
        <f>CONCATENATE("HEP - OPSKRBA D.O.O., ZAGREB")</f>
        <v>HEP - OPSKRBA D.O.O., ZAGREB</v>
      </c>
      <c r="I853" s="2"/>
      <c r="J853" s="1"/>
      <c r="K853" s="2"/>
    </row>
    <row r="854" spans="1:11" ht="47.25" x14ac:dyDescent="0.25">
      <c r="A854" s="1" t="str">
        <f>"158/2013"</f>
        <v>158/2013</v>
      </c>
      <c r="B854" s="1" t="s">
        <v>14</v>
      </c>
      <c r="C854" s="1" t="s">
        <v>2140</v>
      </c>
      <c r="D854" s="1" t="str">
        <f>CONCATENATE("302-2012-EMV",CHAR(10),"2012/S 002-0087967 od 05.12.2012.")</f>
        <v>302-2012-EMV
2012/S 002-0087967 od 05.12.2012.</v>
      </c>
      <c r="E854" s="1" t="s">
        <v>15</v>
      </c>
      <c r="F854" s="1" t="str">
        <f>"949.635,63"</f>
        <v>949.635,63</v>
      </c>
      <c r="G854" s="1" t="str">
        <f>CONCATENATE("03.04.2013.",CHAR(10),"12 mjeseci")</f>
        <v>03.04.2013.
12 mjeseci</v>
      </c>
      <c r="H854" s="1" t="str">
        <f>CONCATENATE("RAZVITAK CENTAR D.O.O., ZAGREB")</f>
        <v>RAZVITAK CENTAR D.O.O., ZAGREB</v>
      </c>
      <c r="I854" s="1" t="s">
        <v>369</v>
      </c>
      <c r="J854" s="1" t="str">
        <f>SUBSTITUTE(SUBSTITUTE(SUBSTITUTE("1,187,038.97",".","-"),",","."),"-",",")</f>
        <v>1.187.038,97</v>
      </c>
      <c r="K854" s="2"/>
    </row>
    <row r="855" spans="1:11" ht="47.25" x14ac:dyDescent="0.25">
      <c r="A855" s="1" t="str">
        <f>"159/2013"</f>
        <v>159/2013</v>
      </c>
      <c r="B855" s="1" t="s">
        <v>14</v>
      </c>
      <c r="C855" s="1" t="s">
        <v>2141</v>
      </c>
      <c r="D855" s="1" t="str">
        <f>CONCATENATE("403-2012-EMV",CHAR(10),"2012/S 002-0085868 od 29.11.2012.")</f>
        <v>403-2012-EMV
2012/S 002-0085868 od 29.11.2012.</v>
      </c>
      <c r="E855" s="1" t="s">
        <v>15</v>
      </c>
      <c r="F855" s="1" t="str">
        <f>"587.619,00"</f>
        <v>587.619,00</v>
      </c>
      <c r="G855" s="1" t="str">
        <f>CONCATENATE("03.04.2013.",CHAR(10),"90 dana")</f>
        <v>03.04.2013.
90 dana</v>
      </c>
      <c r="H855" s="1" t="str">
        <f>CONCATENATE("GRADITELJSTVO I TRGOVINA PERIĆ. D.O.O., ZAGREB",CHAR(10),"C.I.A.K. D.O.O., ZAGREB")</f>
        <v>GRADITELJSTVO I TRGOVINA PERIĆ. D.O.O., ZAGREB
C.I.A.K. D.O.O., ZAGREB</v>
      </c>
      <c r="I855" s="1" t="s">
        <v>370</v>
      </c>
      <c r="J855" s="1" t="str">
        <f>SUBSTITUTE(SUBSTITUTE(SUBSTITUTE("734,265.39",".","-"),",","."),"-",",")</f>
        <v>734.265,39</v>
      </c>
      <c r="K855" s="2"/>
    </row>
    <row r="856" spans="1:11" ht="31.5" x14ac:dyDescent="0.25">
      <c r="A856" s="1" t="str">
        <f>"160/2013"</f>
        <v>160/2013</v>
      </c>
      <c r="B856" s="1" t="s">
        <v>26</v>
      </c>
      <c r="C856" s="1" t="s">
        <v>2142</v>
      </c>
      <c r="D856" s="2"/>
      <c r="E856" s="2"/>
      <c r="F856" s="1" t="str">
        <f>"530.000,00"</f>
        <v>530.000,00</v>
      </c>
      <c r="G856" s="1" t="str">
        <f>CONCATENATE("04.04.2013.",CHAR(10),"tijekom 12 mjeseci")</f>
        <v>04.04.2013.
tijekom 12 mjeseci</v>
      </c>
      <c r="H856" s="1" t="str">
        <f>CONCATENATE("PETROL D.O.O., ZAGREB")</f>
        <v>PETROL D.O.O., ZAGREB</v>
      </c>
      <c r="I856" s="1" t="s">
        <v>74</v>
      </c>
      <c r="J856" s="1" t="str">
        <f>SUBSTITUTE(SUBSTITUTE(SUBSTITUTE("559,500.00",".","-"),",","."),"-",",")</f>
        <v>559.500,00</v>
      </c>
      <c r="K856" s="2"/>
    </row>
    <row r="857" spans="1:11" ht="47.25" x14ac:dyDescent="0.25">
      <c r="A857" s="1" t="str">
        <f>"161/2013"</f>
        <v>161/2013</v>
      </c>
      <c r="B857" s="1" t="s">
        <v>14</v>
      </c>
      <c r="C857" s="1" t="s">
        <v>2143</v>
      </c>
      <c r="D857" s="1" t="str">
        <f>CONCATENATE("183-2013-EMV",CHAR(10),"2013/S 015-0026008 od 21.02.2013.")</f>
        <v>183-2013-EMV
2013/S 015-0026008 od 21.02.2013.</v>
      </c>
      <c r="E857" s="1" t="s">
        <v>12</v>
      </c>
      <c r="F857" s="1" t="str">
        <f>"1.125.000,00"</f>
        <v>1.125.000,00</v>
      </c>
      <c r="G857" s="1" t="str">
        <f>CONCATENATE("04.04.2013.",CHAR(10),"12 mjeseci")</f>
        <v>04.04.2013.
12 mjeseci</v>
      </c>
      <c r="H857" s="1" t="str">
        <f>CONCATENATE("MEDIJSKA MREŽA D.O.O., ZAGREB")</f>
        <v>MEDIJSKA MREŽA D.O.O., ZAGREB</v>
      </c>
      <c r="I857" s="1" t="s">
        <v>371</v>
      </c>
      <c r="J857" s="1" t="str">
        <f>SUBSTITUTE(SUBSTITUTE(SUBSTITUTE("1,406,250.00",".","-"),",","."),"-",",")</f>
        <v>1.406.250,00</v>
      </c>
      <c r="K857" s="2"/>
    </row>
    <row r="858" spans="1:11" ht="47.25" x14ac:dyDescent="0.25">
      <c r="A858" s="1" t="str">
        <f>"162/2013"</f>
        <v>162/2013</v>
      </c>
      <c r="B858" s="1" t="s">
        <v>14</v>
      </c>
      <c r="C858" s="1" t="s">
        <v>2144</v>
      </c>
      <c r="D858" s="1" t="str">
        <f>CONCATENATE("2872-2012-EMV",CHAR(10),"2013/S 015-0021094 od 07.03.2013.")</f>
        <v>2872-2012-EMV
2013/S 015-0021094 od 07.03.2013.</v>
      </c>
      <c r="E858" s="1" t="s">
        <v>12</v>
      </c>
      <c r="F858" s="1" t="str">
        <f>"289.530,19"</f>
        <v>289.530,19</v>
      </c>
      <c r="G858" s="1" t="str">
        <f>CONCATENATE("04.04.2013.",CHAR(10),"20 dana")</f>
        <v>04.04.2013.
20 dana</v>
      </c>
      <c r="H858" s="1" t="str">
        <f>CONCATENATE("PUGAR D.O.O., VELIKA GORICA",CHAR(10),"GEOMETAR D.O.O., ZAGREB")</f>
        <v>PUGAR D.O.O., VELIKA GORICA
GEOMETAR D.O.O., ZAGREB</v>
      </c>
      <c r="I858" s="2"/>
      <c r="J858" s="1"/>
      <c r="K858" s="2"/>
    </row>
    <row r="859" spans="1:11" ht="47.25" x14ac:dyDescent="0.25">
      <c r="A859" s="1" t="str">
        <f>"163/2013"</f>
        <v>163/2013</v>
      </c>
      <c r="B859" s="1" t="s">
        <v>14</v>
      </c>
      <c r="C859" s="1" t="s">
        <v>2145</v>
      </c>
      <c r="D859" s="1" t="str">
        <f>CONCATENATE("2587-2012-EMV",CHAR(10),"2012/S 002-0087371 od 04.12.2012.")</f>
        <v>2587-2012-EMV
2012/S 002-0087371 od 04.12.2012.</v>
      </c>
      <c r="E859" s="1" t="s">
        <v>15</v>
      </c>
      <c r="F859" s="1" t="str">
        <f>"174.217,60"</f>
        <v>174.217,60</v>
      </c>
      <c r="G859" s="1" t="str">
        <f>CONCATENATE("04.04.2013.",CHAR(10),"60 dana")</f>
        <v>04.04.2013.
60 dana</v>
      </c>
      <c r="H859" s="1" t="str">
        <f>CONCATENATE("MONTEL D.O.O., ZAGREB",CHAR(10),"MGV D.O.O., ZAGREB")</f>
        <v>MONTEL D.O.O., ZAGREB
MGV D.O.O., ZAGREB</v>
      </c>
      <c r="I859" s="2"/>
      <c r="J859" s="1"/>
      <c r="K859" s="2"/>
    </row>
    <row r="860" spans="1:11" ht="31.5" x14ac:dyDescent="0.25">
      <c r="A860" s="1" t="str">
        <f>"A-28/2013"</f>
        <v>A-28/2013</v>
      </c>
      <c r="B860" s="1" t="s">
        <v>11</v>
      </c>
      <c r="C860" s="1" t="s">
        <v>2146</v>
      </c>
      <c r="D860" s="1" t="str">
        <f>"2438-2012-EMV"</f>
        <v>2438-2012-EMV</v>
      </c>
      <c r="E860" s="2"/>
      <c r="F860" s="1" t="str">
        <f>"0,00"</f>
        <v>0,00</v>
      </c>
      <c r="G860" s="1" t="str">
        <f>"04.04.2013."</f>
        <v>04.04.2013.</v>
      </c>
      <c r="H860" s="1" t="str">
        <f>CONCATENATE("CARIN D.O.O., ZAGREB",CHAR(10),"HIDROSTRES D.O.O., ZAGREB")</f>
        <v>CARIN D.O.O., ZAGREB
HIDROSTRES D.O.O., ZAGREB</v>
      </c>
      <c r="I860" s="2"/>
      <c r="J860" s="1"/>
      <c r="K860" s="2"/>
    </row>
    <row r="861" spans="1:11" ht="31.5" x14ac:dyDescent="0.25">
      <c r="A861" s="1" t="str">
        <f>"R-5/2013"</f>
        <v>R-5/2013</v>
      </c>
      <c r="B861" s="1" t="s">
        <v>56</v>
      </c>
      <c r="C861" s="1" t="s">
        <v>2147</v>
      </c>
      <c r="D861" s="1" t="str">
        <f>"4-2012-EMV"</f>
        <v>4-2012-EMV</v>
      </c>
      <c r="E861" s="2"/>
      <c r="F861" s="1" t="str">
        <f>"0,00"</f>
        <v>0,00</v>
      </c>
      <c r="G861" s="1" t="str">
        <f>"05.04.2013."</f>
        <v>05.04.2013.</v>
      </c>
      <c r="H861" s="1" t="str">
        <f>CONCATENATE("AUTOTURIST SAMOBOR D.O.O., SAMOBOR")</f>
        <v>AUTOTURIST SAMOBOR D.O.O., SAMOBOR</v>
      </c>
      <c r="I861" s="2"/>
      <c r="J861" s="1"/>
      <c r="K861" s="2"/>
    </row>
    <row r="862" spans="1:11" ht="31.5" x14ac:dyDescent="0.25">
      <c r="A862" s="1" t="str">
        <f>"164/2013"</f>
        <v>164/2013</v>
      </c>
      <c r="B862" s="1" t="s">
        <v>14</v>
      </c>
      <c r="C862" s="1" t="s">
        <v>2148</v>
      </c>
      <c r="D862" s="1" t="str">
        <f>"2012/S 002-0081458 od 19.11.2012."</f>
        <v>2012/S 002-0081458 od 19.11.2012.</v>
      </c>
      <c r="E862" s="1" t="s">
        <v>15</v>
      </c>
      <c r="F862" s="1" t="str">
        <f>"1.155.855,30"</f>
        <v>1.155.855,30</v>
      </c>
      <c r="G862" s="1" t="str">
        <f>CONCATENATE("05.04.2013.",CHAR(10),"35 dana")</f>
        <v>05.04.2013.
35 dana</v>
      </c>
      <c r="H862" s="1" t="str">
        <f>CONCATENATE("GTM D.O.O., VELIKA GORICA")</f>
        <v>GTM D.O.O., VELIKA GORICA</v>
      </c>
      <c r="I862" s="1" t="s">
        <v>372</v>
      </c>
      <c r="J862" s="1" t="str">
        <f>SUBSTITUTE(SUBSTITUTE(SUBSTITUTE("1,155,638.97",".","-"),",","."),"-",",")</f>
        <v>1.155.638,97</v>
      </c>
      <c r="K862" s="2"/>
    </row>
    <row r="863" spans="1:11" ht="31.5" x14ac:dyDescent="0.25">
      <c r="A863" s="1" t="str">
        <f>"165/2013"</f>
        <v>165/2013</v>
      </c>
      <c r="B863" s="1" t="s">
        <v>14</v>
      </c>
      <c r="C863" s="1" t="s">
        <v>2149</v>
      </c>
      <c r="D863" s="1" t="str">
        <f>"2012/S 002-0081438 od 19.11.2012."</f>
        <v>2012/S 002-0081438 od 19.11.2012.</v>
      </c>
      <c r="E863" s="1" t="s">
        <v>15</v>
      </c>
      <c r="F863" s="1" t="str">
        <f>"1.381.520,00"</f>
        <v>1.381.520,00</v>
      </c>
      <c r="G863" s="1" t="str">
        <f>CONCATENATE("05.04.2013.",CHAR(10)," 60 dana")</f>
        <v>05.04.2013.
 60 dana</v>
      </c>
      <c r="H863" s="1" t="str">
        <f>CONCATENATE("INDUSTROOPREMA D.O.O., ZAGREB")</f>
        <v>INDUSTROOPREMA D.O.O., ZAGREB</v>
      </c>
      <c r="I863" s="1" t="s">
        <v>373</v>
      </c>
      <c r="J863" s="1" t="str">
        <f>SUBSTITUTE(SUBSTITUTE(SUBSTITUTE("1,722,037.70",".","-"),",","."),"-",",")</f>
        <v>1.722.037,70</v>
      </c>
      <c r="K863" s="2"/>
    </row>
    <row r="864" spans="1:11" ht="63" x14ac:dyDescent="0.25">
      <c r="A864" s="1" t="str">
        <f>"166/2013"</f>
        <v>166/2013</v>
      </c>
      <c r="B864" s="1" t="s">
        <v>14</v>
      </c>
      <c r="C864" s="1" t="s">
        <v>2150</v>
      </c>
      <c r="D864" s="1" t="str">
        <f>CONCATENATE("2834-2012-EMV",CHAR(10),"2012/S 002-0095426 od 31.12.2012.")</f>
        <v>2834-2012-EMV
2012/S 002-0095426 od 31.12.2012.</v>
      </c>
      <c r="E864" s="1" t="s">
        <v>15</v>
      </c>
      <c r="F864" s="1" t="str">
        <f>"188.546,95"</f>
        <v>188.546,95</v>
      </c>
      <c r="G864" s="1" t="str">
        <f>CONCATENATE("05.04.2013.",CHAR(10),"30 dana")</f>
        <v>05.04.2013.
30 dana</v>
      </c>
      <c r="H864" s="1" t="str">
        <f>CONCATENATE("TIGRA D.O.O., ZAGREB",CHAR(10),"GEO-BIM D.O.O., SAMOBOR",CHAR(10),"GRAĐEVINSKI LABORATORIJ D.O.O., ZAGREB")</f>
        <v>TIGRA D.O.O., ZAGREB
GEO-BIM D.O.O., SAMOBOR
GRAĐEVINSKI LABORATORIJ D.O.O., ZAGREB</v>
      </c>
      <c r="I864" s="2"/>
      <c r="J864" s="1"/>
      <c r="K864" s="2"/>
    </row>
    <row r="865" spans="1:11" ht="63" x14ac:dyDescent="0.25">
      <c r="A865" s="1" t="str">
        <f>"167/2013"</f>
        <v>167/2013</v>
      </c>
      <c r="B865" s="1" t="s">
        <v>26</v>
      </c>
      <c r="C865" s="1" t="s">
        <v>2151</v>
      </c>
      <c r="D865" s="1" t="str">
        <f>"964-2012-EMV"</f>
        <v>964-2012-EMV</v>
      </c>
      <c r="E865" s="2"/>
      <c r="F865" s="1" t="str">
        <f>"360.100,00"</f>
        <v>360.100,00</v>
      </c>
      <c r="G865" s="1" t="str">
        <f>CONCATENATE("09.04.2013.",CHAR(10),"5 mjeseci")</f>
        <v>09.04.2013.
5 mjeseci</v>
      </c>
      <c r="H865" s="1" t="str">
        <f>CONCATENATE("OBUĆA VIKO D.O.O., VARAŽDIN",CHAR(10),"INKOP OBUĆA D.O.O., POZNANOVEC",CHAR(10),"JELEN PROFESSIONAL D.O.O., ČAKOVEC")</f>
        <v>OBUĆA VIKO D.O.O., VARAŽDIN
INKOP OBUĆA D.O.O., POZNANOVEC
JELEN PROFESSIONAL D.O.O., ČAKOVEC</v>
      </c>
      <c r="I865" s="1" t="s">
        <v>374</v>
      </c>
      <c r="J865" s="1" t="str">
        <f>SUBSTITUTE(SUBSTITUTE(SUBSTITUTE("450,125.00",".","-"),",","."),"-",",")</f>
        <v>450.125,00</v>
      </c>
      <c r="K865" s="2"/>
    </row>
    <row r="866" spans="1:11" ht="31.5" x14ac:dyDescent="0.25">
      <c r="A866" s="1" t="str">
        <f>"R-6/2013"</f>
        <v>R-6/2013</v>
      </c>
      <c r="B866" s="1" t="s">
        <v>56</v>
      </c>
      <c r="C866" s="1" t="s">
        <v>2152</v>
      </c>
      <c r="D866" s="1" t="str">
        <f>"1097-2012-EMV"</f>
        <v>1097-2012-EMV</v>
      </c>
      <c r="E866" s="2"/>
      <c r="F866" s="1" t="str">
        <f>"0,00"</f>
        <v>0,00</v>
      </c>
      <c r="G866" s="1" t="str">
        <f>"09.04.2013."</f>
        <v>09.04.2013.</v>
      </c>
      <c r="H866" s="1" t="str">
        <f>CONCATENATE("OBRTNIČKA ZADRUGA INTEGRAD, ZAGREB")</f>
        <v>OBRTNIČKA ZADRUGA INTEGRAD, ZAGREB</v>
      </c>
      <c r="I866" s="2"/>
      <c r="J866" s="1"/>
      <c r="K866" s="2"/>
    </row>
    <row r="867" spans="1:11" ht="126" x14ac:dyDescent="0.25">
      <c r="A867" s="1" t="str">
        <f>"168/2013"</f>
        <v>168/2013</v>
      </c>
      <c r="B867" s="1" t="s">
        <v>14</v>
      </c>
      <c r="C867" s="1" t="s">
        <v>2153</v>
      </c>
      <c r="D867" s="1" t="str">
        <f>CONCATENATE("3223-2012-EMV",CHAR(10),"2013/S 002-0001621 od 10.01.2013.")</f>
        <v>3223-2012-EMV
2013/S 002-0001621 od 10.01.2013.</v>
      </c>
      <c r="E867" s="1" t="s">
        <v>15</v>
      </c>
      <c r="F867" s="1" t="str">
        <f>"173.610,00"</f>
        <v>173.610,00</v>
      </c>
      <c r="G867" s="1" t="str">
        <f>CONCATENATE("09.04.2013.",CHAR(10),"15 dana")</f>
        <v>09.04.2013.
15 dana</v>
      </c>
      <c r="H867" s="1" t="str">
        <f>CONCATENATE("PROKLIMA-TIM D.O.O., ZAGREB")</f>
        <v>PROKLIMA-TIM D.O.O., ZAGREB</v>
      </c>
      <c r="I867" s="1" t="s">
        <v>375</v>
      </c>
      <c r="J867" s="1" t="str">
        <f>SUBSTITUTE(SUBSTITUTE(SUBSTITUTE("217,012.50",".","-"),",","."),"-",",")</f>
        <v>217.012,50</v>
      </c>
      <c r="K867" s="2"/>
    </row>
    <row r="868" spans="1:11" ht="47.25" x14ac:dyDescent="0.25">
      <c r="A868" s="1" t="str">
        <f>"169/2013"</f>
        <v>169/2013</v>
      </c>
      <c r="B868" s="1" t="s">
        <v>26</v>
      </c>
      <c r="C868" s="1" t="s">
        <v>2154</v>
      </c>
      <c r="D868" s="1" t="str">
        <f>"EV-448-019/2011"</f>
        <v>EV-448-019/2011</v>
      </c>
      <c r="E868" s="1" t="s">
        <v>27</v>
      </c>
      <c r="F868" s="1" t="str">
        <f>"399.975,00"</f>
        <v>399.975,00</v>
      </c>
      <c r="G868" s="1" t="str">
        <f>CONCATENATE("10.04.2013.",CHAR(10),"12 mjeseci")</f>
        <v>10.04.2013.
12 mjeseci</v>
      </c>
      <c r="H868" s="1" t="str">
        <f>CONCATENATE("LUKOIL CROATIA D.O.O., ZAGREB")</f>
        <v>LUKOIL CROATIA D.O.O., ZAGREB</v>
      </c>
      <c r="I868" s="1" t="s">
        <v>376</v>
      </c>
      <c r="J868" s="1" t="str">
        <f>SUBSTITUTE(SUBSTITUTE(SUBSTITUTE("459,884.54",".","-"),",","."),"-",",")</f>
        <v>459.884,54</v>
      </c>
      <c r="K868" s="2"/>
    </row>
    <row r="869" spans="1:11" ht="47.25" x14ac:dyDescent="0.25">
      <c r="A869" s="1" t="str">
        <f>"170/2013"</f>
        <v>170/2013</v>
      </c>
      <c r="B869" s="1" t="s">
        <v>14</v>
      </c>
      <c r="C869" s="1" t="s">
        <v>2155</v>
      </c>
      <c r="D869" s="1" t="str">
        <f>CONCATENATE("2603-2012-EMV",CHAR(10),"2012/S 002-0087270 od 04.12.2012.")</f>
        <v>2603-2012-EMV
2012/S 002-0087270 od 04.12.2012.</v>
      </c>
      <c r="E869" s="1" t="s">
        <v>15</v>
      </c>
      <c r="F869" s="1" t="str">
        <f>"78.277,50"</f>
        <v>78.277,50</v>
      </c>
      <c r="G869" s="1" t="str">
        <f>CONCATENATE("10.04.2013.",CHAR(10),"30 dana")</f>
        <v>10.04.2013.
30 dana</v>
      </c>
      <c r="H869" s="1" t="str">
        <f>CONCATENATE("MONTEL D.O.O., ZAGREB",CHAR(10),"MGV D.O.O., ZAGREB")</f>
        <v>MONTEL D.O.O., ZAGREB
MGV D.O.O., ZAGREB</v>
      </c>
      <c r="I869" s="1" t="s">
        <v>377</v>
      </c>
      <c r="J869" s="1" t="str">
        <f>SUBSTITUTE(SUBSTITUTE(SUBSTITUTE("97,656.00",".","-"),",","."),"-",",")</f>
        <v>97.656,00</v>
      </c>
      <c r="K869" s="2"/>
    </row>
    <row r="870" spans="1:11" ht="63" x14ac:dyDescent="0.25">
      <c r="A870" s="1" t="str">
        <f>"171/2013"</f>
        <v>171/2013</v>
      </c>
      <c r="B870" s="1" t="s">
        <v>14</v>
      </c>
      <c r="C870" s="1" t="s">
        <v>715</v>
      </c>
      <c r="D870" s="1" t="str">
        <f>CONCATENATE("2456-2012-EMV",CHAR(10),"2013/S 002-0001905 od 11.01.2013.")</f>
        <v>2456-2012-EMV
2013/S 002-0001905 od 11.01.2013.</v>
      </c>
      <c r="E870" s="1" t="s">
        <v>15</v>
      </c>
      <c r="F870" s="1" t="str">
        <f>"120.000,00"</f>
        <v>120.000,00</v>
      </c>
      <c r="G870" s="1" t="str">
        <f>CONCATENATE("11.04.2013.",CHAR(10),"tijekom 12 mjeseci")</f>
        <v>11.04.2013.
tijekom 12 mjeseci</v>
      </c>
      <c r="H870" s="1" t="str">
        <f>CONCATENATE("USLUŽNI OBRT ''INKI DINKI'', ZAGREB")</f>
        <v>USLUŽNI OBRT ''INKI DINKI'', ZAGREB</v>
      </c>
      <c r="I870" s="1" t="s">
        <v>378</v>
      </c>
      <c r="J870" s="1" t="str">
        <f>SUBSTITUTE(SUBSTITUTE(SUBSTITUTE("150,000.00",".","-"),",","."),"-",",")</f>
        <v>150.000,00</v>
      </c>
      <c r="K870" s="2"/>
    </row>
    <row r="871" spans="1:11" ht="47.25" x14ac:dyDescent="0.25">
      <c r="A871" s="1" t="str">
        <f>"172/2013"</f>
        <v>172/2013</v>
      </c>
      <c r="B871" s="1" t="s">
        <v>14</v>
      </c>
      <c r="C871" s="1" t="s">
        <v>2156</v>
      </c>
      <c r="D871" s="1" t="str">
        <f>CONCATENATE("750-2012-EMV",CHAR(10),"2012/S 002-0006841 od 26.03.2013.")</f>
        <v>750-2012-EMV
2012/S 002-0006841 od 26.03.2013.</v>
      </c>
      <c r="E871" s="1" t="s">
        <v>15</v>
      </c>
      <c r="F871" s="1" t="str">
        <f>"578.537,10"</f>
        <v>578.537,10</v>
      </c>
      <c r="G871" s="1" t="str">
        <f>CONCATENATE("11.04.2013.",CHAR(10),"14 mjeseci")</f>
        <v>11.04.2013.
14 mjeseci</v>
      </c>
      <c r="H871" s="1" t="str">
        <f>CONCATENATE("MEŠIĆ COM D.O.O., ZAGREB",CHAR(10),"MODULOR MODELI D.O.O., ZAGREB")</f>
        <v>MEŠIĆ COM D.O.O., ZAGREB
MODULOR MODELI D.O.O., ZAGREB</v>
      </c>
      <c r="I871" s="2"/>
      <c r="J871" s="1"/>
      <c r="K871" s="2"/>
    </row>
    <row r="872" spans="1:11" ht="110.25" x14ac:dyDescent="0.25">
      <c r="A872" s="1" t="str">
        <f>"173/2013"</f>
        <v>173/2013</v>
      </c>
      <c r="B872" s="1" t="s">
        <v>14</v>
      </c>
      <c r="C872" s="1" t="s">
        <v>2157</v>
      </c>
      <c r="D872" s="1" t="str">
        <f>CONCATENATE("836-2012-EMV",CHAR(10),"2013/S 002-0002125 od 11.01.2012; te ispravak 2013/S 014-0005585 od 24.01.2013.")</f>
        <v>836-2012-EMV
2013/S 002-0002125 od 11.01.2012; te ispravak 2013/S 014-0005585 od 24.01.2013.</v>
      </c>
      <c r="E872" s="1" t="s">
        <v>15</v>
      </c>
      <c r="F872" s="1" t="str">
        <f>"37.500,00"</f>
        <v>37.500,00</v>
      </c>
      <c r="G872" s="1" t="str">
        <f>CONCATENATE("12.04.2013.",CHAR(10),"60 dana")</f>
        <v>12.04.2013.
60 dana</v>
      </c>
      <c r="H872" s="1" t="str">
        <f>CONCATENATE("APZ HIDRIA D.O.O., ZAGREB",CHAR(10),"GEO-PRIZMA D.O.O., ZAGREB",CHAR(10),"GRID D.O.O., ZAGREB",CHAR(10),"FLAMIT D.O.O., SAMOBOR")</f>
        <v>APZ HIDRIA D.O.O., ZAGREB
GEO-PRIZMA D.O.O., ZAGREB
GRID D.O.O., ZAGREB
FLAMIT D.O.O., SAMOBOR</v>
      </c>
      <c r="I872" s="2"/>
      <c r="J872" s="1"/>
      <c r="K872" s="2"/>
    </row>
    <row r="873" spans="1:11" ht="47.25" x14ac:dyDescent="0.25">
      <c r="A873" s="1" t="str">
        <f>"174/2013"</f>
        <v>174/2013</v>
      </c>
      <c r="B873" s="1" t="s">
        <v>14</v>
      </c>
      <c r="C873" s="1" t="s">
        <v>2158</v>
      </c>
      <c r="D873" s="1" t="str">
        <f>CONCATENATE("2527-2012-EMV",CHAR(10),"2013/S 002-0004608 od 21.01.2012.")</f>
        <v>2527-2012-EMV
2013/S 002-0004608 od 21.01.2012.</v>
      </c>
      <c r="E873" s="1" t="s">
        <v>15</v>
      </c>
      <c r="F873" s="1" t="str">
        <f>"57.000,00"</f>
        <v>57.000,00</v>
      </c>
      <c r="G873" s="1" t="str">
        <f>CONCATENATE("12.04.2013.",CHAR(10),"31.12 2013.")</f>
        <v>12.04.2013.
31.12 2013.</v>
      </c>
      <c r="H873" s="1" t="str">
        <f>CONCATENATE("PGT ŠKUNCA D.O.O., ZAGREB-SUSEDGRAD")</f>
        <v>PGT ŠKUNCA D.O.O., ZAGREB-SUSEDGRAD</v>
      </c>
      <c r="I873" s="2"/>
      <c r="J873" s="1"/>
      <c r="K873" s="2"/>
    </row>
    <row r="874" spans="1:11" ht="47.25" x14ac:dyDescent="0.25">
      <c r="A874" s="1" t="str">
        <f>"175/2013"</f>
        <v>175/2013</v>
      </c>
      <c r="B874" s="1" t="s">
        <v>14</v>
      </c>
      <c r="C874" s="1" t="s">
        <v>2159</v>
      </c>
      <c r="D874" s="1" t="str">
        <f>CONCATENATE("2511-2012-EMV",CHAR(10),"2013/S 002-0002273 od 11.01.2013.")</f>
        <v>2511-2012-EMV
2013/S 002-0002273 od 11.01.2013.</v>
      </c>
      <c r="E874" s="1" t="s">
        <v>15</v>
      </c>
      <c r="F874" s="1" t="str">
        <f>"67.000,00"</f>
        <v>67.000,00</v>
      </c>
      <c r="G874" s="1" t="str">
        <f>CONCATENATE("12.04.2013.",CHAR(10),"6 mjeseci")</f>
        <v>12.04.2013.
6 mjeseci</v>
      </c>
      <c r="H874" s="1" t="str">
        <f>CONCATENATE("ASK ATELIER D.O.O., ZAGREB")</f>
        <v>ASK ATELIER D.O.O., ZAGREB</v>
      </c>
      <c r="I874" s="2"/>
      <c r="J874" s="1"/>
      <c r="K874" s="2"/>
    </row>
    <row r="875" spans="1:11" ht="78.75" x14ac:dyDescent="0.25">
      <c r="A875" s="1" t="str">
        <f>"176/2013"</f>
        <v>176/2013</v>
      </c>
      <c r="B875" s="1" t="s">
        <v>14</v>
      </c>
      <c r="C875" s="1" t="s">
        <v>2160</v>
      </c>
      <c r="D875" s="1" t="str">
        <f>CONCATENATE("2862-2012-EMV",CHAR(10),"2013/S 002-0002823 od 15.01.2013, te ispravak 2013/S 014-0008440 od 31.01.2013.")</f>
        <v>2862-2012-EMV
2013/S 002-0002823 od 15.01.2013, te ispravak 2013/S 014-0008440 od 31.01.2013.</v>
      </c>
      <c r="E875" s="1" t="s">
        <v>15</v>
      </c>
      <c r="F875" s="1" t="str">
        <f>"1.393.140,00"</f>
        <v>1.393.140,00</v>
      </c>
      <c r="G875" s="1" t="str">
        <f>CONCATENATE("12.04.2013.",CHAR(10),"12 mjeseci")</f>
        <v>12.04.2013.
12 mjeseci</v>
      </c>
      <c r="H875" s="1" t="str">
        <f>CONCATENATE("LUKOIL CROATIA D.O.O., ZAGREB")</f>
        <v>LUKOIL CROATIA D.O.O., ZAGREB</v>
      </c>
      <c r="I875" s="1" t="s">
        <v>38</v>
      </c>
      <c r="J875" s="1" t="str">
        <f>CONCATENATE(SUBSTITUTE(SUBSTITUTE(SUBSTITUTE("1,816,724.15",".","-"),",","."),"-",","),CHAR(10),"konačno plaćeni iznos je veći od ugovorenog zbog velikog rasta cijena goriva u RH")</f>
        <v>1.816.724,15
konačno plaćeni iznos je veći od ugovorenog zbog velikog rasta cijena goriva u RH</v>
      </c>
      <c r="K875" s="2"/>
    </row>
    <row r="876" spans="1:11" ht="47.25" x14ac:dyDescent="0.25">
      <c r="A876" s="1" t="str">
        <f>"177/2013"</f>
        <v>177/2013</v>
      </c>
      <c r="B876" s="1" t="s">
        <v>14</v>
      </c>
      <c r="C876" s="1" t="s">
        <v>2161</v>
      </c>
      <c r="D876" s="1" t="str">
        <f>CONCATENATE("2865-2012-EMV",CHAR(10),"2012/S 002-0085842 od 29.11.2012.")</f>
        <v>2865-2012-EMV
2012/S 002-0085842 od 29.11.2012.</v>
      </c>
      <c r="E876" s="1" t="s">
        <v>15</v>
      </c>
      <c r="F876" s="1" t="str">
        <f>"113.600,00"</f>
        <v>113.600,00</v>
      </c>
      <c r="G876" s="1" t="str">
        <f>CONCATENATE("12.04.2013.",CHAR(10),"90 dana")</f>
        <v>12.04.2013.
90 dana</v>
      </c>
      <c r="H876" s="1" t="str">
        <f>CONCATENATE("KOPIMA D.O.O, ZAGREB",CHAR(10),"MGV D.O.O., ZAGREB",CHAR(10),"FANOS D.O.O.,")</f>
        <v>KOPIMA D.O.O, ZAGREB
MGV D.O.O., ZAGREB
FANOS D.O.O.,</v>
      </c>
      <c r="I876" s="1" t="s">
        <v>242</v>
      </c>
      <c r="J876" s="1" t="str">
        <f>SUBSTITUTE(SUBSTITUTE(SUBSTITUTE("142,000.00",".","-"),",","."),"-",",")</f>
        <v>142.000,00</v>
      </c>
      <c r="K876" s="2"/>
    </row>
    <row r="877" spans="1:11" ht="47.25" x14ac:dyDescent="0.25">
      <c r="A877" s="1" t="str">
        <f>"178/2013"</f>
        <v>178/2013</v>
      </c>
      <c r="B877" s="1" t="s">
        <v>14</v>
      </c>
      <c r="C877" s="1" t="s">
        <v>2162</v>
      </c>
      <c r="D877" s="1" t="str">
        <f>CONCATENATE("776-2012-EMV",CHAR(10),"2012/S 002-0084846 od 27.11.2012.")</f>
        <v>776-2012-EMV
2012/S 002-0084846 od 27.11.2012.</v>
      </c>
      <c r="E877" s="1" t="s">
        <v>15</v>
      </c>
      <c r="F877" s="1" t="str">
        <f>"72.200,00"</f>
        <v>72.200,00</v>
      </c>
      <c r="G877" s="1" t="str">
        <f>CONCATENATE("12.04.2013.",CHAR(10),"90 dana")</f>
        <v>12.04.2013.
90 dana</v>
      </c>
      <c r="H877" s="1" t="str">
        <f>CONCATENATE("HIDROELEKTRA-PROJEKT D.O.O., ZAGREB")</f>
        <v>HIDROELEKTRA-PROJEKT D.O.O., ZAGREB</v>
      </c>
      <c r="I877" s="2"/>
      <c r="J877" s="1"/>
      <c r="K877" s="2"/>
    </row>
    <row r="878" spans="1:11" ht="78.75" x14ac:dyDescent="0.25">
      <c r="A878" s="1" t="str">
        <f>"179/2013"</f>
        <v>179/2013</v>
      </c>
      <c r="B878" s="1" t="s">
        <v>14</v>
      </c>
      <c r="C878" s="1" t="s">
        <v>2163</v>
      </c>
      <c r="D878" s="1" t="str">
        <f>CONCATENATE("2918-2012-EMV",CHAR(10),"2013/S 002-0094273 od 24.12.2012, ispravak  2013/S 014-0009746 od 06.02.2013.")</f>
        <v>2918-2012-EMV
2013/S 002-0094273 od 24.12.2012, ispravak  2013/S 014-0009746 od 06.02.2013.</v>
      </c>
      <c r="E878" s="1" t="s">
        <v>15</v>
      </c>
      <c r="F878" s="1" t="str">
        <f>"919.565,85"</f>
        <v>919.565,85</v>
      </c>
      <c r="G878" s="1" t="str">
        <f>CONCATENATE("15.04.2013.",CHAR(10),"14 mjeseci")</f>
        <v>15.04.2013.
14 mjeseci</v>
      </c>
      <c r="H878" s="1" t="str">
        <f>CONCATENATE("HRVATSKI TELEKOM D.D., ZAGREB",CHAR(10),"STORM COMPUTERS D.O.O., ZAGREB")</f>
        <v>HRVATSKI TELEKOM D.D., ZAGREB
STORM COMPUTERS D.O.O., ZAGREB</v>
      </c>
      <c r="I878" s="1" t="s">
        <v>153</v>
      </c>
      <c r="J878" s="1" t="str">
        <f>SUBSTITUTE(SUBSTITUTE(SUBSTITUTE("1,149,457.31",".","-"),",","."),"-",",")</f>
        <v>1.149.457,31</v>
      </c>
      <c r="K878" s="2"/>
    </row>
    <row r="879" spans="1:11" ht="47.25" x14ac:dyDescent="0.25">
      <c r="A879" s="1" t="str">
        <f>"180/2013"</f>
        <v>180/2013</v>
      </c>
      <c r="B879" s="1" t="s">
        <v>26</v>
      </c>
      <c r="C879" s="1" t="s">
        <v>2164</v>
      </c>
      <c r="D879" s="1" t="str">
        <f>"965-2012-EVV"</f>
        <v>965-2012-EVV</v>
      </c>
      <c r="E879" s="2"/>
      <c r="F879" s="1" t="str">
        <f>"286.925,00"</f>
        <v>286.925,00</v>
      </c>
      <c r="G879" s="1" t="str">
        <f>CONCATENATE("16.04.2013.",CHAR(10),"5 mjeseci")</f>
        <v>16.04.2013.
5 mjeseci</v>
      </c>
      <c r="H879" s="1" t="str">
        <f>CONCATENATE("HEMCO D.O.O., ĐAKOVO")</f>
        <v>HEMCO D.O.O., ĐAKOVO</v>
      </c>
      <c r="I879" s="1" t="s">
        <v>143</v>
      </c>
      <c r="J879" s="1" t="str">
        <f>SUBSTITUTE(SUBSTITUTE(SUBSTITUTE("246,156.25",".","-"),",","."),"-",",")</f>
        <v>246.156,25</v>
      </c>
      <c r="K879" s="2"/>
    </row>
    <row r="880" spans="1:11" ht="47.25" x14ac:dyDescent="0.25">
      <c r="A880" s="1" t="str">
        <f>"181/2013"</f>
        <v>181/2013</v>
      </c>
      <c r="B880" s="1" t="s">
        <v>14</v>
      </c>
      <c r="C880" s="1" t="s">
        <v>2165</v>
      </c>
      <c r="D880" s="1" t="str">
        <f>CONCATENATE("2583-2012-EMV",CHAR(10),"2012/S-002-0086824 od 03.12.2012.")</f>
        <v>2583-2012-EMV
2012/S-002-0086824 od 03.12.2012.</v>
      </c>
      <c r="E880" s="1" t="s">
        <v>15</v>
      </c>
      <c r="F880" s="1" t="str">
        <f>"91.703,00"</f>
        <v>91.703,00</v>
      </c>
      <c r="G880" s="1" t="str">
        <f>CONCATENATE("17.04.2013.",CHAR(10),"60 dana")</f>
        <v>17.04.2013.
60 dana</v>
      </c>
      <c r="H880" s="1" t="str">
        <f>CONCATENATE("MONTEL D.O.O., ZAGREB",CHAR(10),"MGV D.O.O., ZAGREB")</f>
        <v>MONTEL D.O.O., ZAGREB
MGV D.O.O., ZAGREB</v>
      </c>
      <c r="I880" s="2"/>
      <c r="J880" s="1"/>
      <c r="K880" s="2"/>
    </row>
    <row r="881" spans="1:11" ht="110.25" x14ac:dyDescent="0.25">
      <c r="A881" s="1" t="str">
        <f>"182/2013"</f>
        <v>182/2013</v>
      </c>
      <c r="B881" s="1" t="s">
        <v>14</v>
      </c>
      <c r="C881" s="1" t="s">
        <v>2166</v>
      </c>
      <c r="D881" s="1" t="str">
        <f>CONCATENATE("2875-2012-EMV",CHAR(10),"2012/S 002-0087757 od 05.12.2012; ispravak 2012/S 014-0095341 od 28.12.2012 od 27.12.2012. od 10.01.2013.")</f>
        <v>2875-2012-EMV
2012/S 002-0087757 od 05.12.2012; ispravak 2012/S 014-0095341 od 28.12.2012 od 27.12.2012. od 10.01.2013.</v>
      </c>
      <c r="E881" s="1" t="s">
        <v>15</v>
      </c>
      <c r="F881" s="1" t="str">
        <f>"996.404,00"</f>
        <v>996.404,00</v>
      </c>
      <c r="G881" s="1" t="str">
        <f>CONCATENATE("17.04.2013.",CHAR(10),"45 dana")</f>
        <v>17.04.2013.
45 dana</v>
      </c>
      <c r="H881" s="1" t="str">
        <f>CONCATENATE("GEORAD D.O.O., ZAGREB")</f>
        <v>GEORAD D.O.O., ZAGREB</v>
      </c>
      <c r="I881" s="1" t="s">
        <v>368</v>
      </c>
      <c r="J881" s="1" t="str">
        <f>SUBSTITUTE(SUBSTITUTE(SUBSTITUTE("1,244,321.49",".","-"),",","."),"-",",")</f>
        <v>1.244.321,49</v>
      </c>
      <c r="K881" s="2"/>
    </row>
    <row r="882" spans="1:11" ht="47.25" x14ac:dyDescent="0.25">
      <c r="A882" s="1" t="str">
        <f>"183/2013"</f>
        <v>183/2013</v>
      </c>
      <c r="B882" s="1" t="s">
        <v>14</v>
      </c>
      <c r="C882" s="1" t="s">
        <v>1424</v>
      </c>
      <c r="D882" s="1" t="str">
        <f>CONCATENATE("780-2012-EMV",CHAR(10),"2012/S 002-0086164 od 30.11.2012.")</f>
        <v>780-2012-EMV
2012/S 002-0086164 od 30.11.2012.</v>
      </c>
      <c r="E882" s="1" t="s">
        <v>15</v>
      </c>
      <c r="F882" s="1" t="str">
        <f>"788.856,50"</f>
        <v>788.856,50</v>
      </c>
      <c r="G882" s="1" t="str">
        <f>CONCATENATE("17.04.2013.",CHAR(10),"10 dana")</f>
        <v>17.04.2013.
10 dana</v>
      </c>
      <c r="H882" s="1" t="str">
        <f>CONCATENATE("ELEKTROKOVINA D.O.O., HRVATSKI LESKOVAC")</f>
        <v>ELEKTROKOVINA D.O.O., HRVATSKI LESKOVAC</v>
      </c>
      <c r="I882" s="1" t="s">
        <v>60</v>
      </c>
      <c r="J882" s="1" t="str">
        <f>SUBSTITUTE(SUBSTITUTE(SUBSTITUTE("986,030.00",".","-"),",","."),"-",",")</f>
        <v>986.030,00</v>
      </c>
      <c r="K882" s="2"/>
    </row>
    <row r="883" spans="1:11" ht="63" x14ac:dyDescent="0.25">
      <c r="A883" s="1" t="str">
        <f>"184/2013"</f>
        <v>184/2013</v>
      </c>
      <c r="B883" s="1" t="s">
        <v>14</v>
      </c>
      <c r="C883" s="1" t="s">
        <v>1512</v>
      </c>
      <c r="D883" s="1" t="str">
        <f>CONCATENATE("3135-2012-EMV",CHAR(10),"2013/S 002-0003291 od 16.01.2013.")</f>
        <v>3135-2012-EMV
2013/S 002-0003291 od 16.01.2013.</v>
      </c>
      <c r="E883" s="1" t="s">
        <v>15</v>
      </c>
      <c r="F883" s="1" t="str">
        <f>"547.116,00"</f>
        <v>547.116,00</v>
      </c>
      <c r="G883" s="1" t="str">
        <f>CONCATENATE("17.04.2013.",CHAR(10),"30 dana")</f>
        <v>17.04.2013.
30 dana</v>
      </c>
      <c r="H883" s="1" t="str">
        <f>CONCATENATE("PRIGORAC-GRAĐENJE D.O.O., SESVETE",CHAR(10),"NERING D.O.O., SESVETE",CHAR(10),"MJERNIK LIMA D.O.O., ZAGREB")</f>
        <v>PRIGORAC-GRAĐENJE D.O.O., SESVETE
NERING D.O.O., SESVETE
MJERNIK LIMA D.O.O., ZAGREB</v>
      </c>
      <c r="I883" s="1" t="s">
        <v>379</v>
      </c>
      <c r="J883" s="1" t="str">
        <f>SUBSTITUTE(SUBSTITUTE(SUBSTITUTE("591,790.66",".","-"),",","."),"-",",")</f>
        <v>591.790,66</v>
      </c>
      <c r="K883" s="2"/>
    </row>
    <row r="884" spans="1:11" ht="94.5" x14ac:dyDescent="0.25">
      <c r="A884" s="1" t="str">
        <f>"A-29/2013"</f>
        <v>A-29/2013</v>
      </c>
      <c r="B884" s="1" t="s">
        <v>11</v>
      </c>
      <c r="C884" s="1" t="s">
        <v>380</v>
      </c>
      <c r="D884" s="1" t="str">
        <f>"1962-2012-EMV"</f>
        <v>1962-2012-EMV</v>
      </c>
      <c r="E884" s="2"/>
      <c r="F884" s="1" t="str">
        <f>"0,00"</f>
        <v>0,00</v>
      </c>
      <c r="G884" s="1" t="str">
        <f>CONCATENATE("17.04.2013.",CHAR(10),"31.12.2013.")</f>
        <v>17.04.2013.
31.12.2013.</v>
      </c>
      <c r="H884" s="1" t="str">
        <f>CONCATENATE("INTERKONZALTING D.O.O., ZAGREB")</f>
        <v>INTERKONZALTING D.O.O., ZAGREB</v>
      </c>
      <c r="I884" s="2"/>
      <c r="J884" s="1"/>
      <c r="K884" s="2"/>
    </row>
    <row r="885" spans="1:11" ht="110.25" x14ac:dyDescent="0.25">
      <c r="A885" s="1" t="str">
        <f>"A-30/2013"</f>
        <v>A-30/2013</v>
      </c>
      <c r="B885" s="1" t="s">
        <v>11</v>
      </c>
      <c r="C885" s="1" t="s">
        <v>381</v>
      </c>
      <c r="D885" s="1" t="str">
        <f>"1964-2012-EMV"</f>
        <v>1964-2012-EMV</v>
      </c>
      <c r="E885" s="2"/>
      <c r="F885" s="1" t="str">
        <f>"0,00"</f>
        <v>0,00</v>
      </c>
      <c r="G885" s="1" t="str">
        <f>CONCATENATE("17.04.2013.",CHAR(10)," 31.12.2013.")</f>
        <v>17.04.2013.
 31.12.2013.</v>
      </c>
      <c r="H885" s="1" t="str">
        <f>CONCATENATE("PRONGRAD BIRO D.O.O., ZAGREB",CHAR(10),"GEOFORMAT D.O.O., ZAGREB",CHAR(10),"VPB D.D., ZAGREB")</f>
        <v>PRONGRAD BIRO D.O.O., ZAGREB
GEOFORMAT D.O.O., ZAGREB
VPB D.D., ZAGREB</v>
      </c>
      <c r="I885" s="2"/>
      <c r="J885" s="1"/>
      <c r="K885" s="2"/>
    </row>
    <row r="886" spans="1:11" ht="47.25" x14ac:dyDescent="0.25">
      <c r="A886" s="1" t="str">
        <f>"185/2013"</f>
        <v>185/2013</v>
      </c>
      <c r="B886" s="1" t="s">
        <v>14</v>
      </c>
      <c r="C886" s="1" t="s">
        <v>2167</v>
      </c>
      <c r="D886" s="1" t="str">
        <f>CONCATENATE("1126-2012-EVV",CHAR(10),"2013/S 002-0000163 od 03.01.2013.")</f>
        <v>1126-2012-EVV
2013/S 002-0000163 od 03.01.2013.</v>
      </c>
      <c r="E886" s="1" t="s">
        <v>15</v>
      </c>
      <c r="F886" s="1" t="str">
        <f>"2.050.000,00"</f>
        <v>2.050.000,00</v>
      </c>
      <c r="G886" s="1" t="str">
        <f>CONCATENATE("18.04.2013.",CHAR(10),"9 mjeseci")</f>
        <v>18.04.2013.
9 mjeseci</v>
      </c>
      <c r="H886" s="1" t="str">
        <f>CONCATENATE("DARH 2 D.O.O., SAMOBOR",CHAR(10),"BRODARSKI INSTITUT D.O.O., ZAGREB-NOVI ZAGREB")</f>
        <v>DARH 2 D.O.O., SAMOBOR
BRODARSKI INSTITUT D.O.O., ZAGREB-NOVI ZAGREB</v>
      </c>
      <c r="I886" s="1" t="s">
        <v>367</v>
      </c>
      <c r="J886" s="1" t="str">
        <f>SUBSTITUTE(SUBSTITUTE(SUBSTITUTE("2,562,500.00",".","-"),",","."),"-",",")</f>
        <v>2.562.500,00</v>
      </c>
      <c r="K886" s="2"/>
    </row>
    <row r="887" spans="1:11" ht="47.25" x14ac:dyDescent="0.25">
      <c r="A887" s="1" t="str">
        <f>"186/2013"</f>
        <v>186/2013</v>
      </c>
      <c r="B887" s="1" t="s">
        <v>14</v>
      </c>
      <c r="C887" s="1" t="s">
        <v>2168</v>
      </c>
      <c r="D887" s="1" t="str">
        <f>CONCATENATE("1198-2013-EMV",CHAR(10),"2013/S 002-0019467 od 04.03.2013.")</f>
        <v>1198-2013-EMV
2013/S 002-0019467 od 04.03.2013.</v>
      </c>
      <c r="E887" s="1" t="s">
        <v>15</v>
      </c>
      <c r="F887" s="1" t="str">
        <f>"356.566,00"</f>
        <v>356.566,00</v>
      </c>
      <c r="G887" s="1" t="str">
        <f>CONCATENATE("19.04.2013.",CHAR(10),"60 dana")</f>
        <v>19.04.2013.
60 dana</v>
      </c>
      <c r="H887" s="1" t="str">
        <f>CONCATENATE("GEORAD D.O.O., ZAGREB")</f>
        <v>GEORAD D.O.O., ZAGREB</v>
      </c>
      <c r="I887" s="2"/>
      <c r="J887" s="1"/>
      <c r="K887" s="2"/>
    </row>
    <row r="888" spans="1:11" ht="47.25" x14ac:dyDescent="0.25">
      <c r="A888" s="1" t="str">
        <f>"187/2013"</f>
        <v>187/2013</v>
      </c>
      <c r="B888" s="1" t="s">
        <v>14</v>
      </c>
      <c r="C888" s="1" t="s">
        <v>2169</v>
      </c>
      <c r="D888" s="1" t="str">
        <f>CONCATENATE("1373-2013-EMV",CHAR(10),"2013/S 015-0033840 od 11.04.2013.")</f>
        <v>1373-2013-EMV
2013/S 015-0033840 od 11.04.2013.</v>
      </c>
      <c r="E888" s="1" t="s">
        <v>12</v>
      </c>
      <c r="F888" s="1" t="str">
        <f>"1.588.773,93"</f>
        <v>1.588.773,93</v>
      </c>
      <c r="G888" s="1" t="str">
        <f>CONCATENATE("19.04.2013.",CHAR(10),"90 dana")</f>
        <v>19.04.2013.
90 dana</v>
      </c>
      <c r="H888" s="1" t="str">
        <f>CONCATENATE("PIMONT GRUPA D.O.O., ZAGREB",CHAR(10),"MGV D.O.O., ZAGREB")</f>
        <v>PIMONT GRUPA D.O.O., ZAGREB
MGV D.O.O., ZAGREB</v>
      </c>
      <c r="I888" s="1" t="s">
        <v>379</v>
      </c>
      <c r="J888" s="1" t="str">
        <f>SUBSTITUTE(SUBSTITUTE(SUBSTITUTE("1,985,513.85",".","-"),",","."),"-",",")</f>
        <v>1.985.513,85</v>
      </c>
      <c r="K888" s="2"/>
    </row>
    <row r="889" spans="1:11" ht="63" x14ac:dyDescent="0.25">
      <c r="A889" s="1" t="str">
        <f>"188/2013"</f>
        <v>188/2013</v>
      </c>
      <c r="B889" s="1" t="s">
        <v>14</v>
      </c>
      <c r="C889" s="1" t="s">
        <v>2170</v>
      </c>
      <c r="D889" s="1" t="str">
        <f>CONCATENATE("1683-2013-EMV",CHAR(10),"2013/S 015-0028967 od 28.03.2013.")</f>
        <v>1683-2013-EMV
2013/S 015-0028967 od 28.03.2013.</v>
      </c>
      <c r="E889" s="1" t="s">
        <v>12</v>
      </c>
      <c r="F889" s="1" t="str">
        <f>"243.621,18"</f>
        <v>243.621,18</v>
      </c>
      <c r="G889" s="1" t="str">
        <f>CONCATENATE("19.04.2013.",CHAR(10),"30 dana")</f>
        <v>19.04.2013.
30 dana</v>
      </c>
      <c r="H889" s="1" t="str">
        <f>CONCATENATE("GRADITELJ SVRATIŠTA D.O.O., ZAGREB")</f>
        <v>GRADITELJ SVRATIŠTA D.O.O., ZAGREB</v>
      </c>
      <c r="I889" s="1" t="s">
        <v>336</v>
      </c>
      <c r="J889" s="1" t="str">
        <f>SUBSTITUTE(SUBSTITUTE(SUBSTITUTE("293,644.43",".","-"),",","."),"-",",")</f>
        <v>293.644,43</v>
      </c>
      <c r="K889" s="2"/>
    </row>
    <row r="890" spans="1:11" ht="110.25" x14ac:dyDescent="0.25">
      <c r="A890" s="1" t="str">
        <f>"189/2013"</f>
        <v>189/2013</v>
      </c>
      <c r="B890" s="1" t="s">
        <v>14</v>
      </c>
      <c r="C890" s="1" t="s">
        <v>382</v>
      </c>
      <c r="D890" s="1" t="str">
        <f>CONCATENATE("2949-2013-EMV",CHAR(10),"2012/S 002-0081379 od 19.11.2012., ispr. 2012/S 014-0094434 od 24.12.2012., te 2013/S 014-0000218 od 02.01.2013.")</f>
        <v>2949-2013-EMV
2012/S 002-0081379 od 19.11.2012., ispr. 2012/S 014-0094434 od 24.12.2012., te 2013/S 014-0000218 od 02.01.2013.</v>
      </c>
      <c r="E890" s="1" t="s">
        <v>15</v>
      </c>
      <c r="F890" s="1" t="str">
        <f>"1.233.600,00"</f>
        <v>1.233.600,00</v>
      </c>
      <c r="G890" s="1" t="str">
        <f>CONCATENATE("19.04.2013.",CHAR(10),"60 dana")</f>
        <v>19.04.2013.
60 dana</v>
      </c>
      <c r="H890" s="1" t="str">
        <f>CONCATENATE("DIV D.O.O., SAMOBOR")</f>
        <v>DIV D.O.O., SAMOBOR</v>
      </c>
      <c r="I890" s="1" t="s">
        <v>383</v>
      </c>
      <c r="J890" s="1" t="str">
        <f>SUBSTITUTE(SUBSTITUTE(SUBSTITUTE("1,541,500.00",".","-"),",","."),"-",",")</f>
        <v>1.541.500,00</v>
      </c>
      <c r="K890" s="2"/>
    </row>
    <row r="891" spans="1:11" ht="47.25" x14ac:dyDescent="0.25">
      <c r="A891" s="1" t="str">
        <f>"190/2013"</f>
        <v>190/2013</v>
      </c>
      <c r="B891" s="1" t="s">
        <v>14</v>
      </c>
      <c r="C891" s="1" t="s">
        <v>2171</v>
      </c>
      <c r="D891" s="1" t="str">
        <f>CONCATENATE("434-2012-EMV",CHAR(10),"2012/S 002-0083341 od 23.11.2012.")</f>
        <v>434-2012-EMV
2012/S 002-0083341 od 23.11.2012.</v>
      </c>
      <c r="E891" s="1" t="s">
        <v>15</v>
      </c>
      <c r="F891" s="1" t="str">
        <f>"658.869,00"</f>
        <v>658.869,00</v>
      </c>
      <c r="G891" s="1" t="str">
        <f>CONCATENATE("22.04.2013.",CHAR(10),"90 dana")</f>
        <v>22.04.2013.
90 dana</v>
      </c>
      <c r="H891" s="1" t="str">
        <f>CONCATENATE("O.K.I. MONT D.O.O., ZAGREB",CHAR(10),"KEMIS-TERMOCLEAN D.O.O., ZAGREB")</f>
        <v>O.K.I. MONT D.O.O., ZAGREB
KEMIS-TERMOCLEAN D.O.O., ZAGREB</v>
      </c>
      <c r="I891" s="1" t="s">
        <v>104</v>
      </c>
      <c r="J891" s="1" t="str">
        <f>SUBSTITUTE(SUBSTITUTE(SUBSTITUTE("779,192.93",".","-"),",","."),"-",",")</f>
        <v>779.192,93</v>
      </c>
      <c r="K891" s="2"/>
    </row>
    <row r="892" spans="1:11" ht="141.75" x14ac:dyDescent="0.25">
      <c r="A892" s="1" t="str">
        <f>"191/2013"</f>
        <v>191/2013</v>
      </c>
      <c r="B892" s="1" t="s">
        <v>14</v>
      </c>
      <c r="C892" s="1" t="s">
        <v>2172</v>
      </c>
      <c r="D892" s="1" t="str">
        <f>CONCATENATE("2062-2012-EMV",CHAR(10),"2013/S 002-002944 od 15.1.2013,ispravak 2013/S 014-0009097 od 4.2.2013. i isprav. 2013/S 014-0010152 od 06.02.2013.")</f>
        <v>2062-2012-EMV
2013/S 002-002944 od 15.1.2013,ispravak 2013/S 014-0009097 od 4.2.2013. i isprav. 2013/S 014-0010152 od 06.02.2013.</v>
      </c>
      <c r="E892" s="1" t="s">
        <v>15</v>
      </c>
      <c r="F892" s="1" t="str">
        <f>"6.208.197,43"</f>
        <v>6.208.197,43</v>
      </c>
      <c r="G892" s="1" t="str">
        <f>CONCATENATE("23.04.2013.",CHAR(10),"8 mjeseci")</f>
        <v>23.04.2013.
8 mjeseci</v>
      </c>
      <c r="H892" s="1" t="str">
        <f>CONCATENATE("ZAGREBGRADNJA D.O.O., ZAGREB",CHAR(10),"GEOPROJEKT D.O.O., ZAGREB",CHAR(10),"TERMOMONTING D.O.O., ZAGREB",CHAR(10),"GEOEXPERT-I.G.M. D.O.O., ZAGREB",CHAR(10),"EUROCIJEV, ZAGREB",CHAR(10),"SPECAUTOMATIKA-BILUŠ D.O.O., ZAGREB",CHAR(10),"KONTROL BIRO-PRISTER D.O.O., ZAGREB")</f>
        <v>ZAGREBGRADNJA D.O.O., ZAGREB
GEOPROJEKT D.O.O., ZAGREB
TERMOMONTING D.O.O., ZAGREB
GEOEXPERT-I.G.M. D.O.O., ZAGREB
EUROCIJEV, ZAGREB
SPECAUTOMATIKA-BILUŠ D.O.O., ZAGREB
KONTROL BIRO-PRISTER D.O.O., ZAGREB</v>
      </c>
      <c r="I892" s="1" t="s">
        <v>112</v>
      </c>
      <c r="J892" s="1" t="str">
        <f>SUBSTITUTE(SUBSTITUTE(SUBSTITUTE("6,354,658.17",".","-"),",","."),"-",",")</f>
        <v>6.354.658,17</v>
      </c>
      <c r="K892" s="2"/>
    </row>
    <row r="893" spans="1:11" ht="47.25" x14ac:dyDescent="0.25">
      <c r="A893" s="1" t="str">
        <f>"192/2013"</f>
        <v>192/2013</v>
      </c>
      <c r="B893" s="1" t="s">
        <v>14</v>
      </c>
      <c r="C893" s="1" t="s">
        <v>2173</v>
      </c>
      <c r="D893" s="1" t="str">
        <f>CONCATENATE("1374-2013-EMV",CHAR(10),"2013/S 015-0030121 od 02.04.2013.")</f>
        <v>1374-2013-EMV
2013/S 015-0030121 od 02.04.2013.</v>
      </c>
      <c r="E893" s="1" t="s">
        <v>12</v>
      </c>
      <c r="F893" s="1" t="str">
        <f>"223.891,64"</f>
        <v>223.891,64</v>
      </c>
      <c r="G893" s="1" t="str">
        <f>CONCATENATE("23.04.2013.",CHAR(10),"20 dana")</f>
        <v>23.04.2013.
20 dana</v>
      </c>
      <c r="H893" s="1" t="str">
        <f>CONCATENATE("KBB KARDUM, ZAGREB")</f>
        <v>KBB KARDUM, ZAGREB</v>
      </c>
      <c r="I893" s="1" t="s">
        <v>138</v>
      </c>
      <c r="J893" s="1" t="str">
        <f>SUBSTITUTE(SUBSTITUTE(SUBSTITUTE("204,253.54",".","-"),",","."),"-",",")</f>
        <v>204.253,54</v>
      </c>
      <c r="K893" s="2"/>
    </row>
    <row r="894" spans="1:11" ht="47.25" x14ac:dyDescent="0.25">
      <c r="A894" s="1" t="str">
        <f>"A-31/2013"</f>
        <v>A-31/2013</v>
      </c>
      <c r="B894" s="1" t="s">
        <v>11</v>
      </c>
      <c r="C894" s="1" t="s">
        <v>2174</v>
      </c>
      <c r="D894" s="1" t="str">
        <f>"1885-2012-EMV"</f>
        <v>1885-2012-EMV</v>
      </c>
      <c r="E894" s="2"/>
      <c r="F894" s="1" t="str">
        <f>"0,00"</f>
        <v>0,00</v>
      </c>
      <c r="G894" s="1" t="str">
        <f>CONCATENATE("23.04.2013.",CHAR(10),"01.06.2013.")</f>
        <v>23.04.2013.
01.06.2013.</v>
      </c>
      <c r="H894" s="1" t="str">
        <f>CONCATENATE("BOLČEVIĆ GRADNJA D.O.O., SESVETE-KRALJEVEC",CHAR(10),"MGV D.O.O., ZAGREB")</f>
        <v>BOLČEVIĆ GRADNJA D.O.O., SESVETE-KRALJEVEC
MGV D.O.O., ZAGREB</v>
      </c>
      <c r="I894" s="2"/>
      <c r="J894" s="1"/>
      <c r="K894" s="2"/>
    </row>
    <row r="895" spans="1:11" ht="47.25" x14ac:dyDescent="0.25">
      <c r="A895" s="1" t="str">
        <f>"193/2013"</f>
        <v>193/2013</v>
      </c>
      <c r="B895" s="1" t="s">
        <v>14</v>
      </c>
      <c r="C895" s="1" t="s">
        <v>2175</v>
      </c>
      <c r="D895" s="1" t="str">
        <f>CONCATENATE("722-2012-EMV",CHAR(10),"2013/S 002-0006181 od 25.01.2013.")</f>
        <v>722-2012-EMV
2013/S 002-0006181 od 25.01.2013.</v>
      </c>
      <c r="E895" s="1" t="s">
        <v>15</v>
      </c>
      <c r="F895" s="1" t="str">
        <f>"96.000,00"</f>
        <v>96.000,00</v>
      </c>
      <c r="G895" s="1" t="str">
        <f>CONCATENATE("23.04.2013.",CHAR(10),"tijekom cijelog perioda izvođenja radova na objektu")</f>
        <v>23.04.2013.
tijekom cijelog perioda izvođenja radova na objektu</v>
      </c>
      <c r="H895" s="1" t="str">
        <f>CONCATENATE("NERING PROJEKT D.O.O., ZAGREB",CHAR(10),"F.I.L.D. PROJEKT D.O.O., ZAGREB",CHAR(10),"NORA DVA D.O.O., ZAGREB")</f>
        <v>NERING PROJEKT D.O.O., ZAGREB
F.I.L.D. PROJEKT D.O.O., ZAGREB
NORA DVA D.O.O., ZAGREB</v>
      </c>
      <c r="I895" s="1" t="s">
        <v>384</v>
      </c>
      <c r="J895" s="1" t="str">
        <f>SUBSTITUTE(SUBSTITUTE(SUBSTITUTE("120,000.00",".","-"),",","."),"-",",")</f>
        <v>120.000,00</v>
      </c>
      <c r="K895" s="2"/>
    </row>
    <row r="896" spans="1:11" ht="47.25" x14ac:dyDescent="0.25">
      <c r="A896" s="1" t="str">
        <f>"194/2013"</f>
        <v>194/2013</v>
      </c>
      <c r="B896" s="1" t="s">
        <v>14</v>
      </c>
      <c r="C896" s="1" t="s">
        <v>2176</v>
      </c>
      <c r="D896" s="1" t="str">
        <f>CONCATENATE("2598-2012-EMV",CHAR(10),"2013/S 002-0003752 od 17.01.2013.")</f>
        <v>2598-2012-EMV
2013/S 002-0003752 od 17.01.2013.</v>
      </c>
      <c r="E896" s="1" t="s">
        <v>15</v>
      </c>
      <c r="F896" s="1" t="str">
        <f>"586.400,00"</f>
        <v>586.400,00</v>
      </c>
      <c r="G896" s="1" t="str">
        <f>CONCATENATE("23.04.2013.",CHAR(10),"60 dana")</f>
        <v>23.04.2013.
60 dana</v>
      </c>
      <c r="H896" s="1" t="str">
        <f>CONCATENATE("MONTEL D.O.O., ZAGREB",CHAR(10),"MGV D.O.O., ZAGREB")</f>
        <v>MONTEL D.O.O., ZAGREB
MGV D.O.O., ZAGREB</v>
      </c>
      <c r="I896" s="2"/>
      <c r="J896" s="1"/>
      <c r="K896" s="2"/>
    </row>
    <row r="897" spans="1:11" ht="94.5" x14ac:dyDescent="0.25">
      <c r="A897" s="1" t="str">
        <f>"A-32/2013"</f>
        <v>A-32/2013</v>
      </c>
      <c r="B897" s="1" t="s">
        <v>11</v>
      </c>
      <c r="C897" s="1" t="s">
        <v>2177</v>
      </c>
      <c r="D897" s="1" t="str">
        <f>"1973-2012-EMV"</f>
        <v>1973-2012-EMV</v>
      </c>
      <c r="E897" s="2"/>
      <c r="F897" s="1" t="str">
        <f>"0,00"</f>
        <v>0,00</v>
      </c>
      <c r="G897" s="1" t="str">
        <f>CONCATENATE("23.04.2013.",CHAR(10),"31.12.2013.")</f>
        <v>23.04.2013.
31.12.2013.</v>
      </c>
      <c r="H897" s="1" t="str">
        <f>CONCATENATE("HIDROELEKTRA-PROJEKT D.O.O., ZAGREB")</f>
        <v>HIDROELEKTRA-PROJEKT D.O.O., ZAGREB</v>
      </c>
      <c r="I897" s="2"/>
      <c r="J897" s="1"/>
      <c r="K897" s="2"/>
    </row>
    <row r="898" spans="1:11" ht="47.25" x14ac:dyDescent="0.25">
      <c r="A898" s="1" t="str">
        <f>"195/2013"</f>
        <v>195/2013</v>
      </c>
      <c r="B898" s="1" t="s">
        <v>14</v>
      </c>
      <c r="C898" s="1" t="s">
        <v>2178</v>
      </c>
      <c r="D898" s="1" t="str">
        <f>CONCATENATE("1225-2013-EMV",CHAR(10),"2013/S 002-0019496 od 04.03.2013.")</f>
        <v>1225-2013-EMV
2013/S 002-0019496 od 04.03.2013.</v>
      </c>
      <c r="E898" s="1" t="s">
        <v>15</v>
      </c>
      <c r="F898" s="1" t="str">
        <f>"131.896,23"</f>
        <v>131.896,23</v>
      </c>
      <c r="G898" s="1" t="str">
        <f>CONCATENATE("23.04.2013.",CHAR(10),"10 dana")</f>
        <v>23.04.2013.
10 dana</v>
      </c>
      <c r="H898" s="1" t="str">
        <f>CONCATENATE("ELICOM D.O.O., ZAGREB",CHAR(10),"GEO GRUPA D.O.O., ZAGREB")</f>
        <v>ELICOM D.O.O., ZAGREB
GEO GRUPA D.O.O., ZAGREB</v>
      </c>
      <c r="I898" s="1" t="s">
        <v>385</v>
      </c>
      <c r="J898" s="1" t="str">
        <f>SUBSTITUTE(SUBSTITUTE(SUBSTITUTE("164,543.83",".","-"),",","."),"-",",")</f>
        <v>164.543,83</v>
      </c>
      <c r="K898" s="2"/>
    </row>
    <row r="899" spans="1:11" ht="94.5" x14ac:dyDescent="0.25">
      <c r="A899" s="1" t="str">
        <f>"196/2013"</f>
        <v>196/2013</v>
      </c>
      <c r="B899" s="1" t="s">
        <v>14</v>
      </c>
      <c r="C899" s="1" t="s">
        <v>2179</v>
      </c>
      <c r="D899" s="1" t="str">
        <f>CONCATENATE("1681-2013-EMV",CHAR(10),"2013/S 002-0019454 od 04.03.2013., ispravak 2013/S 014-0024972 od 19.3.2013. isp 2013/S 014-0026584 od 22.03.2013.")</f>
        <v>1681-2013-EMV
2013/S 002-0019454 od 04.03.2013., ispravak 2013/S 014-0024972 od 19.3.2013. isp 2013/S 014-0026584 od 22.03.2013.</v>
      </c>
      <c r="E899" s="1" t="s">
        <v>15</v>
      </c>
      <c r="F899" s="1" t="str">
        <f>"3.186.888,00"</f>
        <v>3.186.888,00</v>
      </c>
      <c r="G899" s="1" t="str">
        <f>CONCATENATE("24.04.2013.",CHAR(10),"90 dana")</f>
        <v>24.04.2013.
90 dana</v>
      </c>
      <c r="H899" s="1" t="str">
        <f>CONCATENATE("GIP PIONIR D.O.O., ZAGREB",CHAR(10),"CSS D.O.O., ZAGREB")</f>
        <v>GIP PIONIR D.O.O., ZAGREB
CSS D.O.O., ZAGREB</v>
      </c>
      <c r="I899" s="1" t="s">
        <v>386</v>
      </c>
      <c r="J899" s="1" t="str">
        <f>SUBSTITUTE(SUBSTITUTE(SUBSTITUTE("3,976,153.36",".","-"),",","."),"-",",")</f>
        <v>3.976.153,36</v>
      </c>
      <c r="K899" s="2"/>
    </row>
    <row r="900" spans="1:11" ht="94.5" x14ac:dyDescent="0.25">
      <c r="A900" s="1" t="str">
        <f>"197/2013"</f>
        <v>197/2013</v>
      </c>
      <c r="B900" s="1" t="s">
        <v>14</v>
      </c>
      <c r="C900" s="1" t="s">
        <v>2180</v>
      </c>
      <c r="D900" s="1" t="str">
        <f>CONCATENATE("1113-2012-EMV",CHAR(10),"2013/S 002-0004232 od 18.01.2013.")</f>
        <v>1113-2012-EMV
2013/S 002-0004232 od 18.01.2013.</v>
      </c>
      <c r="E900" s="1" t="s">
        <v>15</v>
      </c>
      <c r="F900" s="1" t="str">
        <f>"1.226.250,00"</f>
        <v>1.226.250,00</v>
      </c>
      <c r="G900" s="1" t="str">
        <f>CONCATENATE("24.04.2013.",CHAR(10),"12 mjeseci")</f>
        <v>24.04.2013.
12 mjeseci</v>
      </c>
      <c r="H900" s="1" t="str">
        <f>CONCATENATE("KONČAR - ELEKTRONIKA I INFORMATIKA D.D., ZAGREB",CHAR(10),"KONČAR-INŽENJERING ZA ENERGETIKU I TRANSPORT D.D., ZAGREB",CHAR(10),"HELB D.O.O., DUGO SELO")</f>
        <v>KONČAR - ELEKTRONIKA I INFORMATIKA D.D., ZAGREB
KONČAR-INŽENJERING ZA ENERGETIKU I TRANSPORT D.D., ZAGREB
HELB D.O.O., DUGO SELO</v>
      </c>
      <c r="I900" s="1" t="s">
        <v>387</v>
      </c>
      <c r="J900" s="1" t="str">
        <f>SUBSTITUTE(SUBSTITUTE(SUBSTITUTE("1,532,812.50",".","-"),",","."),"-",",")</f>
        <v>1.532.812,50</v>
      </c>
      <c r="K900" s="2"/>
    </row>
    <row r="901" spans="1:11" ht="94.5" x14ac:dyDescent="0.25">
      <c r="A901" s="1" t="str">
        <f>"A-33/2013"</f>
        <v>A-33/2013</v>
      </c>
      <c r="B901" s="1" t="s">
        <v>11</v>
      </c>
      <c r="C901" s="1" t="s">
        <v>2181</v>
      </c>
      <c r="D901" s="1" t="str">
        <f>"1106-2012-EMV"</f>
        <v>1106-2012-EMV</v>
      </c>
      <c r="E901" s="2"/>
      <c r="F901" s="1" t="str">
        <f>"0,00"</f>
        <v>0,00</v>
      </c>
      <c r="G901" s="1" t="str">
        <f>CONCATENATE("24.04.2013.",CHAR(10),"120 dana")</f>
        <v>24.04.2013.
120 dana</v>
      </c>
      <c r="H901" s="1" t="str">
        <f>CONCATENATE("PROING D.O.O., ZAGREB")</f>
        <v>PROING D.O.O., ZAGREB</v>
      </c>
      <c r="I901" s="2"/>
      <c r="J901" s="1"/>
      <c r="K901" s="2"/>
    </row>
    <row r="902" spans="1:11" ht="78.75" x14ac:dyDescent="0.25">
      <c r="A902" s="1" t="str">
        <f>"198/2013"</f>
        <v>198/2013</v>
      </c>
      <c r="B902" s="1" t="s">
        <v>14</v>
      </c>
      <c r="C902" s="1" t="s">
        <v>2182</v>
      </c>
      <c r="D902" s="1" t="str">
        <f>CONCATENATE("1674-2013-EMV",CHAR(10),"2013/S 002-0018093 od 28.02.2013.")</f>
        <v>1674-2013-EMV
2013/S 002-0018093 od 28.02.2013.</v>
      </c>
      <c r="E902" s="1" t="s">
        <v>15</v>
      </c>
      <c r="F902" s="1" t="str">
        <f>"154.000,00"</f>
        <v>154.000,00</v>
      </c>
      <c r="G902" s="1" t="str">
        <f>CONCATENATE("24.04.2013.",CHAR(10),"prema rokovima i dinamci izvođenja radova")</f>
        <v>24.04.2013.
prema rokovima i dinamci izvođenja radova</v>
      </c>
      <c r="H902" s="1" t="str">
        <f>CONCATENATE("EKO-PLAN D.O.O., ZAGREB",CHAR(10),"GEOPROJEKT D.O.O., ZAGREB",CHAR(10),"T.D.I. 90 D.O.O., ZAGREB",CHAR(10),"LAUREUS PROJEKT D.O.O., ZAGREB",CHAR(10),"DRUGI FORMAT D.O.O., ZAGREB")</f>
        <v>EKO-PLAN D.O.O., ZAGREB
GEOPROJEKT D.O.O., ZAGREB
T.D.I. 90 D.O.O., ZAGREB
LAUREUS PROJEKT D.O.O., ZAGREB
DRUGI FORMAT D.O.O., ZAGREB</v>
      </c>
      <c r="I902" s="1" t="s">
        <v>388</v>
      </c>
      <c r="J902" s="1" t="str">
        <f>SUBSTITUTE(SUBSTITUTE(SUBSTITUTE("192,500.00",".","-"),",","."),"-",",")</f>
        <v>192.500,00</v>
      </c>
      <c r="K902" s="2"/>
    </row>
    <row r="903" spans="1:11" ht="78.75" x14ac:dyDescent="0.25">
      <c r="A903" s="1" t="str">
        <f>"A-34/2013"</f>
        <v>A-34/2013</v>
      </c>
      <c r="B903" s="1" t="s">
        <v>11</v>
      </c>
      <c r="C903" s="1" t="s">
        <v>2183</v>
      </c>
      <c r="D903" s="1" t="str">
        <f>"1954-2012-EMV"</f>
        <v>1954-2012-EMV</v>
      </c>
      <c r="E903" s="2"/>
      <c r="F903" s="1" t="str">
        <f>"0,00"</f>
        <v>0,00</v>
      </c>
      <c r="G903" s="1" t="str">
        <f>CONCATENATE("24.04.2013.",CHAR(10),"31.12.2013.")</f>
        <v>24.04.2013.
31.12.2013.</v>
      </c>
      <c r="H903" s="1" t="str">
        <f>CONCATENATE("GEOPROJEKT D.O.O., ZAGREB",CHAR(10),"EKO-PLAN D.O.O., ZAGREB")</f>
        <v>GEOPROJEKT D.O.O., ZAGREB
EKO-PLAN D.O.O., ZAGREB</v>
      </c>
      <c r="I903" s="2"/>
      <c r="J903" s="1"/>
      <c r="K903" s="2"/>
    </row>
    <row r="904" spans="1:11" ht="47.25" x14ac:dyDescent="0.25">
      <c r="A904" s="1" t="str">
        <f>"199/2013"</f>
        <v>199/2013</v>
      </c>
      <c r="B904" s="1" t="s">
        <v>14</v>
      </c>
      <c r="C904" s="1" t="s">
        <v>2184</v>
      </c>
      <c r="D904" s="1" t="str">
        <f>CONCATENATE("1124-2012-EMV",CHAR(10),"2013/S 002-0001008 od 08.01.2013.")</f>
        <v>1124-2012-EMV
2013/S 002-0001008 od 08.01.2013.</v>
      </c>
      <c r="E904" s="1" t="s">
        <v>15</v>
      </c>
      <c r="F904" s="1" t="str">
        <f>"178.000,00"</f>
        <v>178.000,00</v>
      </c>
      <c r="G904" s="1" t="str">
        <f>CONCATENATE("25.04.2013.",CHAR(10),"6 mjeseci")</f>
        <v>25.04.2013.
6 mjeseci</v>
      </c>
      <c r="H904" s="1" t="str">
        <f>CONCATENATE("OIKON D.O.O., ZAGREB")</f>
        <v>OIKON D.O.O., ZAGREB</v>
      </c>
      <c r="I904" s="1" t="s">
        <v>253</v>
      </c>
      <c r="J904" s="1" t="str">
        <f>SUBSTITUTE(SUBSTITUTE(SUBSTITUTE("222,500.00",".","-"),",","."),"-",",")</f>
        <v>222.500,00</v>
      </c>
      <c r="K904" s="2"/>
    </row>
    <row r="905" spans="1:11" ht="63" x14ac:dyDescent="0.25">
      <c r="A905" s="1" t="str">
        <f>"A-35/2013"</f>
        <v>A-35/2013</v>
      </c>
      <c r="B905" s="1" t="s">
        <v>11</v>
      </c>
      <c r="C905" s="1" t="s">
        <v>2185</v>
      </c>
      <c r="D905" s="1" t="str">
        <f>"1955-2012-EMV"</f>
        <v>1955-2012-EMV</v>
      </c>
      <c r="E905" s="2"/>
      <c r="F905" s="1" t="str">
        <f t="shared" ref="F905:F917" si="4">"0,00"</f>
        <v>0,00</v>
      </c>
      <c r="G905" s="1" t="str">
        <f t="shared" ref="G905:G910" si="5">CONCATENATE("25.04.2013.",CHAR(10),"31.12.2013.")</f>
        <v>25.04.2013.
31.12.2013.</v>
      </c>
      <c r="H905" s="1" t="str">
        <f>CONCATENATE("EKO-PLAN D.O.O., ZAGREB",CHAR(10),"MJERNIK LIMA D.O.O., ZAGREB")</f>
        <v>EKO-PLAN D.O.O., ZAGREB
MJERNIK LIMA D.O.O., ZAGREB</v>
      </c>
      <c r="I905" s="2"/>
      <c r="J905" s="1"/>
      <c r="K905" s="2"/>
    </row>
    <row r="906" spans="1:11" ht="94.5" x14ac:dyDescent="0.25">
      <c r="A906" s="1" t="str">
        <f>"A-36/2013"</f>
        <v>A-36/2013</v>
      </c>
      <c r="B906" s="1" t="s">
        <v>11</v>
      </c>
      <c r="C906" s="1" t="s">
        <v>2186</v>
      </c>
      <c r="D906" s="1" t="str">
        <f>"1981-2012-EMV"</f>
        <v>1981-2012-EMV</v>
      </c>
      <c r="E906" s="2"/>
      <c r="F906" s="1" t="str">
        <f t="shared" si="4"/>
        <v>0,00</v>
      </c>
      <c r="G906" s="1" t="str">
        <f t="shared" si="5"/>
        <v>25.04.2013.
31.12.2013.</v>
      </c>
      <c r="H906" s="1" t="str">
        <f>CONCATENATE("GEOPROJEKT D.O.O., ZAGREB",CHAR(10),"EKO-PLAN D.O.O., ZAGREB",CHAR(10),"KOPIMA D.O.O, ZAGREB")</f>
        <v>GEOPROJEKT D.O.O., ZAGREB
EKO-PLAN D.O.O., ZAGREB
KOPIMA D.O.O, ZAGREB</v>
      </c>
      <c r="I906" s="2"/>
      <c r="J906" s="1"/>
      <c r="K906" s="2"/>
    </row>
    <row r="907" spans="1:11" ht="78.75" x14ac:dyDescent="0.25">
      <c r="A907" s="1" t="str">
        <f>"A-37/2013"</f>
        <v>A-37/2013</v>
      </c>
      <c r="B907" s="1" t="s">
        <v>11</v>
      </c>
      <c r="C907" s="1" t="s">
        <v>2187</v>
      </c>
      <c r="D907" s="1" t="str">
        <f>"1970-2012-EMV"</f>
        <v>1970-2012-EMV</v>
      </c>
      <c r="E907" s="2"/>
      <c r="F907" s="1" t="str">
        <f t="shared" si="4"/>
        <v>0,00</v>
      </c>
      <c r="G907" s="1" t="str">
        <f t="shared" si="5"/>
        <v>25.04.2013.
31.12.2013.</v>
      </c>
      <c r="H907" s="1" t="str">
        <f>CONCATENATE("GEOPROJEKT D.O.O., ZAGREB",CHAR(10),"EKO-PLAN D.O.O., ZAGREB")</f>
        <v>GEOPROJEKT D.O.O., ZAGREB
EKO-PLAN D.O.O., ZAGREB</v>
      </c>
      <c r="I907" s="2"/>
      <c r="J907" s="1"/>
      <c r="K907" s="2"/>
    </row>
    <row r="908" spans="1:11" ht="94.5" x14ac:dyDescent="0.25">
      <c r="A908" s="1" t="str">
        <f>"A-38/2013"</f>
        <v>A-38/2013</v>
      </c>
      <c r="B908" s="1" t="s">
        <v>11</v>
      </c>
      <c r="C908" s="1" t="s">
        <v>2188</v>
      </c>
      <c r="D908" s="1" t="str">
        <f>"1930-2012-EMV"</f>
        <v>1930-2012-EMV</v>
      </c>
      <c r="E908" s="2"/>
      <c r="F908" s="1" t="str">
        <f t="shared" si="4"/>
        <v>0,00</v>
      </c>
      <c r="G908" s="1" t="str">
        <f t="shared" si="5"/>
        <v>25.04.2013.
31.12.2013.</v>
      </c>
      <c r="H908" s="1" t="str">
        <f>CONCATENATE("GEOPROJEKT D.O.O., ZAGREB",CHAR(10),"EKO-PLAN D.O.O., ZAGREB")</f>
        <v>GEOPROJEKT D.O.O., ZAGREB
EKO-PLAN D.O.O., ZAGREB</v>
      </c>
      <c r="I908" s="2"/>
      <c r="J908" s="1"/>
      <c r="K908" s="2"/>
    </row>
    <row r="909" spans="1:11" ht="78.75" x14ac:dyDescent="0.25">
      <c r="A909" s="1" t="str">
        <f>"A-39/2013"</f>
        <v>A-39/2013</v>
      </c>
      <c r="B909" s="1" t="s">
        <v>11</v>
      </c>
      <c r="C909" s="1" t="s">
        <v>2189</v>
      </c>
      <c r="D909" s="1" t="str">
        <f>"1983-2012-EMV"</f>
        <v>1983-2012-EMV</v>
      </c>
      <c r="E909" s="2"/>
      <c r="F909" s="1" t="str">
        <f t="shared" si="4"/>
        <v>0,00</v>
      </c>
      <c r="G909" s="1" t="str">
        <f t="shared" si="5"/>
        <v>25.04.2013.
31.12.2013.</v>
      </c>
      <c r="H909" s="1" t="str">
        <f>CONCATENATE("GEOPROJEKT D.O.O., ZAGREB",CHAR(10),"EKO-PLAN D.O.O., ZAGREB",CHAR(10),"KOPIMA D.O.O, ZAGREB")</f>
        <v>GEOPROJEKT D.O.O., ZAGREB
EKO-PLAN D.O.O., ZAGREB
KOPIMA D.O.O, ZAGREB</v>
      </c>
      <c r="I909" s="2"/>
      <c r="J909" s="1"/>
      <c r="K909" s="2"/>
    </row>
    <row r="910" spans="1:11" ht="110.25" x14ac:dyDescent="0.25">
      <c r="A910" s="1" t="str">
        <f>"A-40/2013"</f>
        <v>A-40/2013</v>
      </c>
      <c r="B910" s="1" t="s">
        <v>11</v>
      </c>
      <c r="C910" s="1" t="s">
        <v>2190</v>
      </c>
      <c r="D910" s="1" t="str">
        <f>"1966-2012-EMV"</f>
        <v>1966-2012-EMV</v>
      </c>
      <c r="E910" s="2"/>
      <c r="F910" s="1" t="str">
        <f t="shared" si="4"/>
        <v>0,00</v>
      </c>
      <c r="G910" s="1" t="str">
        <f t="shared" si="5"/>
        <v>25.04.2013.
31.12.2013.</v>
      </c>
      <c r="H910" s="1" t="str">
        <f>CONCATENATE("GEOPROJEKT D.O.O., ZAGREB",CHAR(10),"EKO-PLAN D.O.O., ZAGREB",CHAR(10),"KOPIMA D.O.O, ZAGREB")</f>
        <v>GEOPROJEKT D.O.O., ZAGREB
EKO-PLAN D.O.O., ZAGREB
KOPIMA D.O.O, ZAGREB</v>
      </c>
      <c r="I910" s="2"/>
      <c r="J910" s="1"/>
      <c r="K910" s="2"/>
    </row>
    <row r="911" spans="1:11" ht="141.75" x14ac:dyDescent="0.25">
      <c r="A911" s="1" t="str">
        <f>"A-41/2013"</f>
        <v>A-41/2013</v>
      </c>
      <c r="B911" s="1" t="s">
        <v>11</v>
      </c>
      <c r="C911" s="1" t="s">
        <v>2191</v>
      </c>
      <c r="D911" s="1" t="str">
        <f>"1969-2012-EMV"</f>
        <v>1969-2012-EMV</v>
      </c>
      <c r="E911" s="2"/>
      <c r="F911" s="1" t="str">
        <f t="shared" si="4"/>
        <v>0,00</v>
      </c>
      <c r="G911" s="1" t="str">
        <f>CONCATENATE("26.04.2013.",CHAR(10),"31.12.2013.")</f>
        <v>26.04.2013.
31.12.2013.</v>
      </c>
      <c r="H911" s="1" t="str">
        <f>CONCATENATE("EKO-PLAN D.O.O., ZAGREB",CHAR(10),"GEOPROJEKT D.O.O., ZAGREB")</f>
        <v>EKO-PLAN D.O.O., ZAGREB
GEOPROJEKT D.O.O., ZAGREB</v>
      </c>
      <c r="I911" s="2"/>
      <c r="J911" s="1"/>
      <c r="K911" s="2"/>
    </row>
    <row r="912" spans="1:11" ht="78.75" x14ac:dyDescent="0.25">
      <c r="A912" s="1" t="str">
        <f>"A-42/2013"</f>
        <v>A-42/2013</v>
      </c>
      <c r="B912" s="1" t="s">
        <v>11</v>
      </c>
      <c r="C912" s="1" t="s">
        <v>2192</v>
      </c>
      <c r="D912" s="1" t="str">
        <f>"1960-2012-EMV"</f>
        <v>1960-2012-EMV</v>
      </c>
      <c r="E912" s="2"/>
      <c r="F912" s="1" t="str">
        <f t="shared" si="4"/>
        <v>0,00</v>
      </c>
      <c r="G912" s="1" t="str">
        <f>CONCATENATE("26.04.2013.",CHAR(10),"31.12.2013.")</f>
        <v>26.04.2013.
31.12.2013.</v>
      </c>
      <c r="H912" s="1" t="str">
        <f>CONCATENATE("CAPITAL ING D.O.O., ZAGREB",CHAR(10),"GEO GRUPA D.O.O., ZAGREB")</f>
        <v>CAPITAL ING D.O.O., ZAGREB
GEO GRUPA D.O.O., ZAGREB</v>
      </c>
      <c r="I912" s="2"/>
      <c r="J912" s="1"/>
      <c r="K912" s="2"/>
    </row>
    <row r="913" spans="1:11" ht="94.5" x14ac:dyDescent="0.25">
      <c r="A913" s="1" t="str">
        <f>"A-43/2013"</f>
        <v>A-43/2013</v>
      </c>
      <c r="B913" s="1" t="s">
        <v>11</v>
      </c>
      <c r="C913" s="1" t="s">
        <v>2193</v>
      </c>
      <c r="D913" s="1" t="str">
        <f>"1905-2012-EMV"</f>
        <v>1905-2012-EMV</v>
      </c>
      <c r="E913" s="2"/>
      <c r="F913" s="1" t="str">
        <f t="shared" si="4"/>
        <v>0,00</v>
      </c>
      <c r="G913" s="1" t="str">
        <f>CONCATENATE("26.04.2013.",CHAR(10),"31.12.2013.")</f>
        <v>26.04.2013.
31.12.2013.</v>
      </c>
      <c r="H913" s="1" t="str">
        <f>CONCATENATE("GEOPROJEKT D.O.O., ZAGREB",CHAR(10),"EKO-PLAN D.O.O., ZAGREB",CHAR(10),"KOPIMA D.O.O, ZAGREB")</f>
        <v>GEOPROJEKT D.O.O., ZAGREB
EKO-PLAN D.O.O., ZAGREB
KOPIMA D.O.O, ZAGREB</v>
      </c>
      <c r="I913" s="2"/>
      <c r="J913" s="1"/>
      <c r="K913" s="2"/>
    </row>
    <row r="914" spans="1:11" ht="78.75" x14ac:dyDescent="0.25">
      <c r="A914" s="1" t="str">
        <f>"A-44/2013"</f>
        <v>A-44/2013</v>
      </c>
      <c r="B914" s="1" t="s">
        <v>11</v>
      </c>
      <c r="C914" s="1" t="s">
        <v>2194</v>
      </c>
      <c r="D914" s="1" t="str">
        <f>"1901-2012-EMV"</f>
        <v>1901-2012-EMV</v>
      </c>
      <c r="E914" s="2"/>
      <c r="F914" s="1" t="str">
        <f t="shared" si="4"/>
        <v>0,00</v>
      </c>
      <c r="G914" s="1" t="str">
        <f>CONCATENATE("26.04.2013.",CHAR(10),"31.12.2013.")</f>
        <v>26.04.2013.
31.12.2013.</v>
      </c>
      <c r="H914" s="1" t="str">
        <f>CONCATENATE("GEOPROJEKT D.O.O., ZAGREB",CHAR(10),"EKO-PLAN D.O.O., ZAGREB",CHAR(10),"I.B.R. INŽENJERING CIRKOVIĆ D.O.O., ZAGREB")</f>
        <v>GEOPROJEKT D.O.O., ZAGREB
EKO-PLAN D.O.O., ZAGREB
I.B.R. INŽENJERING CIRKOVIĆ D.O.O., ZAGREB</v>
      </c>
      <c r="I914" s="2"/>
      <c r="J914" s="1"/>
      <c r="K914" s="2"/>
    </row>
    <row r="915" spans="1:11" ht="94.5" x14ac:dyDescent="0.25">
      <c r="A915" s="1" t="str">
        <f>"A-45/2013"</f>
        <v>A-45/2013</v>
      </c>
      <c r="B915" s="1" t="s">
        <v>11</v>
      </c>
      <c r="C915" s="1" t="s">
        <v>2195</v>
      </c>
      <c r="D915" s="1" t="str">
        <f>"1990-2012-EMV"</f>
        <v>1990-2012-EMV</v>
      </c>
      <c r="E915" s="2"/>
      <c r="F915" s="1" t="str">
        <f t="shared" si="4"/>
        <v>0,00</v>
      </c>
      <c r="G915" s="1" t="str">
        <f>CONCATENATE("26.04.2013.",CHAR(10),"31.12.2013.")</f>
        <v>26.04.2013.
31.12.2013.</v>
      </c>
      <c r="H915" s="1" t="str">
        <f>CONCATENATE("GEOPROJEKT D.O.O., ZAGREB",CHAR(10),"EKO-PLAN D.O.O., ZAGREB",CHAR(10),"KOPIMA D.O.O, ZAGREB")</f>
        <v>GEOPROJEKT D.O.O., ZAGREB
EKO-PLAN D.O.O., ZAGREB
KOPIMA D.O.O, ZAGREB</v>
      </c>
      <c r="I915" s="2"/>
      <c r="J915" s="1"/>
      <c r="K915" s="2"/>
    </row>
    <row r="916" spans="1:11" ht="47.25" x14ac:dyDescent="0.25">
      <c r="A916" s="1" t="str">
        <f>"A-46/2013"</f>
        <v>A-46/2013</v>
      </c>
      <c r="B916" s="1" t="s">
        <v>11</v>
      </c>
      <c r="C916" s="1" t="s">
        <v>2196</v>
      </c>
      <c r="D916" s="1" t="str">
        <f>"1911-2012-EMV"</f>
        <v>1911-2012-EMV</v>
      </c>
      <c r="E916" s="2"/>
      <c r="F916" s="1" t="str">
        <f t="shared" si="4"/>
        <v>0,00</v>
      </c>
      <c r="G916" s="1" t="str">
        <f>CONCATENATE("26.04.2013.",CHAR(10),"31.07.2013.")</f>
        <v>26.04.2013.
31.07.2013.</v>
      </c>
      <c r="H916" s="1" t="str">
        <f>CONCATENATE("TEMEX D.O.O., ZAGREB",CHAR(10),"CSS D.O.O., ZAGREB",CHAR(10),"GEODATA D.O.O., ZAGREB")</f>
        <v>TEMEX D.O.O., ZAGREB
CSS D.O.O., ZAGREB
GEODATA D.O.O., ZAGREB</v>
      </c>
      <c r="I916" s="2"/>
      <c r="J916" s="1"/>
      <c r="K916" s="2"/>
    </row>
    <row r="917" spans="1:11" ht="94.5" x14ac:dyDescent="0.25">
      <c r="A917" s="1" t="str">
        <f>"A-47/2013"</f>
        <v>A-47/2013</v>
      </c>
      <c r="B917" s="1" t="s">
        <v>11</v>
      </c>
      <c r="C917" s="1" t="s">
        <v>2197</v>
      </c>
      <c r="D917" s="1" t="str">
        <f>"1978-2012-EMV"</f>
        <v>1978-2012-EMV</v>
      </c>
      <c r="E917" s="2"/>
      <c r="F917" s="1" t="str">
        <f t="shared" si="4"/>
        <v>0,00</v>
      </c>
      <c r="G917" s="1" t="str">
        <f>CONCATENATE("26.04.2013.",CHAR(10),"31.12.2013.")</f>
        <v>26.04.2013.
31.12.2013.</v>
      </c>
      <c r="H917" s="1" t="str">
        <f>CONCATENATE("GEOPROJEKT D.O.O., ZAGREB",CHAR(10),"EKO-PLAN D.O.O., ZAGREB",CHAR(10),"KOPIMA D.O.O, ZAGREB")</f>
        <v>GEOPROJEKT D.O.O., ZAGREB
EKO-PLAN D.O.O., ZAGREB
KOPIMA D.O.O, ZAGREB</v>
      </c>
      <c r="I917" s="2"/>
      <c r="J917" s="1"/>
      <c r="K917" s="2"/>
    </row>
    <row r="918" spans="1:11" ht="126" x14ac:dyDescent="0.25">
      <c r="A918" s="1" t="str">
        <f>"200/2013"</f>
        <v>200/2013</v>
      </c>
      <c r="B918" s="1" t="s">
        <v>14</v>
      </c>
      <c r="C918" s="1" t="s">
        <v>2198</v>
      </c>
      <c r="D918" s="1" t="str">
        <f>CONCATENATE("1670-2013-EMV",CHAR(10),"2013/S 002-0017485 od 27.2.2013., 2013/S 014-0019883 od 5.3.2013.,2013/S 014-0024216 15.3.12. i isp.2013/S 014-0026073 od 21.03.2013.")</f>
        <v>1670-2013-EMV
2013/S 002-0017485 od 27.2.2013., 2013/S 014-0019883 od 5.3.2013.,2013/S 014-0024216 15.3.12. i isp.2013/S 014-0026073 od 21.03.2013.</v>
      </c>
      <c r="E918" s="1" t="s">
        <v>15</v>
      </c>
      <c r="F918" s="1" t="str">
        <f>"2.666.398,00"</f>
        <v>2.666.398,00</v>
      </c>
      <c r="G918" s="1" t="str">
        <f>CONCATENATE("29.04.2013.",CHAR(10),"90 dana")</f>
        <v>29.04.2013.
90 dana</v>
      </c>
      <c r="H918" s="1" t="str">
        <f>CONCATENATE("MONTEL D.O.O., ZAGREB")</f>
        <v>MONTEL D.O.O., ZAGREB</v>
      </c>
      <c r="I918" s="1" t="s">
        <v>389</v>
      </c>
      <c r="J918" s="1" t="str">
        <f>SUBSTITUTE(SUBSTITUTE(SUBSTITUTE("3,332,864.80",".","-"),",","."),"-",",")</f>
        <v>3.332.864,80</v>
      </c>
      <c r="K918" s="2"/>
    </row>
    <row r="919" spans="1:11" ht="110.25" x14ac:dyDescent="0.25">
      <c r="A919" s="1" t="str">
        <f>"201/2013"</f>
        <v>201/2013</v>
      </c>
      <c r="B919" s="1" t="s">
        <v>14</v>
      </c>
      <c r="C919" s="1" t="s">
        <v>2199</v>
      </c>
      <c r="D919" s="1" t="str">
        <f>CONCATENATE("2992-2012-EMV",CHAR(10),"2013/S 002-0002118 od 11.01.2013, isp. 2013/S 014-0006947 od 29.01.2013 i isp. 2013/S 014-0011327 od 08.02.2013.")</f>
        <v>2992-2012-EMV
2013/S 002-0002118 od 11.01.2013, isp. 2013/S 014-0006947 od 29.01.2013 i isp. 2013/S 014-0011327 od 08.02.2013.</v>
      </c>
      <c r="E919" s="1" t="s">
        <v>15</v>
      </c>
      <c r="F919" s="1" t="str">
        <f>"4.291.442,13"</f>
        <v>4.291.442,13</v>
      </c>
      <c r="G919" s="1" t="str">
        <f>CONCATENATE("29.04.2013.",CHAR(10),"180 dana")</f>
        <v>29.04.2013.
180 dana</v>
      </c>
      <c r="H919" s="1" t="str">
        <f>CONCATENATE("MEŠIĆ COM D.O.O., ZAGREB",CHAR(10),"ALING D.O.O., ZAGREB",CHAR(10),"MJERNIK LIMA D.O.O., ZAGREB")</f>
        <v>MEŠIĆ COM D.O.O., ZAGREB
ALING D.O.O., ZAGREB
MJERNIK LIMA D.O.O., ZAGREB</v>
      </c>
      <c r="I919" s="1" t="s">
        <v>390</v>
      </c>
      <c r="J919" s="1" t="str">
        <f>SUBSTITUTE(SUBSTITUTE(SUBSTITUTE("5,364,186.55",".","-"),",","."),"-",",")</f>
        <v>5.364.186,55</v>
      </c>
      <c r="K919" s="2"/>
    </row>
    <row r="920" spans="1:11" ht="47.25" x14ac:dyDescent="0.25">
      <c r="A920" s="1" t="str">
        <f>"202/2013"</f>
        <v>202/2013</v>
      </c>
      <c r="B920" s="1" t="s">
        <v>14</v>
      </c>
      <c r="C920" s="1" t="s">
        <v>2200</v>
      </c>
      <c r="D920" s="1" t="str">
        <f>CONCATENATE("2467-2012-EMV",CHAR(10),"2013/S 002-0002380 od 14.01.2013.")</f>
        <v>2467-2012-EMV
2013/S 002-0002380 od 14.01.2013.</v>
      </c>
      <c r="E920" s="1" t="s">
        <v>15</v>
      </c>
      <c r="F920" s="1" t="str">
        <f>"162.625,50"</f>
        <v>162.625,50</v>
      </c>
      <c r="G920" s="1" t="str">
        <f>CONCATENATE("29.04.2013.",CHAR(10),"40 dana")</f>
        <v>29.04.2013.
40 dana</v>
      </c>
      <c r="H920" s="1" t="str">
        <f>CONCATENATE("ĆIBO-PROMET D.O.O., DUGO SELO",CHAR(10),"PERVISUS D.O.O., ZAGREB")</f>
        <v>ĆIBO-PROMET D.O.O., DUGO SELO
PERVISUS D.O.O., ZAGREB</v>
      </c>
      <c r="I920" s="2"/>
      <c r="J920" s="1"/>
      <c r="K920" s="2"/>
    </row>
    <row r="921" spans="1:11" ht="47.25" x14ac:dyDescent="0.25">
      <c r="A921" s="1" t="str">
        <f>"203/2013"</f>
        <v>203/2013</v>
      </c>
      <c r="B921" s="1" t="s">
        <v>14</v>
      </c>
      <c r="C921" s="1" t="s">
        <v>2201</v>
      </c>
      <c r="D921" s="1" t="str">
        <f>CONCATENATE("1675-2013-EMV",CHAR(10),"2013/S 002-0017783 od 28.02.2013.")</f>
        <v>1675-2013-EMV
2013/S 002-0017783 od 28.02.2013.</v>
      </c>
      <c r="E921" s="1" t="s">
        <v>15</v>
      </c>
      <c r="F921" s="1" t="str">
        <f>"169.000,00"</f>
        <v>169.000,00</v>
      </c>
      <c r="G921" s="1" t="str">
        <f>CONCATENATE("29.04.2013.",CHAR(10),"10 mjeseci")</f>
        <v>29.04.2013.
10 mjeseci</v>
      </c>
      <c r="H921" s="1" t="str">
        <f>CONCATENATE("GEODETIKA D.O.O., ZAGREB")</f>
        <v>GEODETIKA D.O.O., ZAGREB</v>
      </c>
      <c r="I921" s="2"/>
      <c r="J921" s="1"/>
      <c r="K921" s="2"/>
    </row>
    <row r="922" spans="1:11" ht="126" x14ac:dyDescent="0.25">
      <c r="A922" s="1" t="str">
        <f>"A-48/2013"</f>
        <v>A-48/2013</v>
      </c>
      <c r="B922" s="1" t="s">
        <v>11</v>
      </c>
      <c r="C922" s="1" t="s">
        <v>2202</v>
      </c>
      <c r="D922" s="1" t="str">
        <f>"1968-2012-EMV"</f>
        <v>1968-2012-EMV</v>
      </c>
      <c r="E922" s="2"/>
      <c r="F922" s="1" t="str">
        <f>"0,00"</f>
        <v>0,00</v>
      </c>
      <c r="G922" s="1" t="str">
        <f>CONCATENATE("30.04.2013.",CHAR(10),"31.12.2013.")</f>
        <v>30.04.2013.
31.12.2013.</v>
      </c>
      <c r="H922" s="1" t="str">
        <f>CONCATENATE("GEO-BIM D.O.O., SAMOBOR",CHAR(10),"INŽENJERSKI PROJEKTNI ZAVOD D.D., ZAGREB")</f>
        <v>GEO-BIM D.O.O., SAMOBOR
INŽENJERSKI PROJEKTNI ZAVOD D.D., ZAGREB</v>
      </c>
      <c r="I922" s="2"/>
      <c r="J922" s="1"/>
      <c r="K922" s="2"/>
    </row>
    <row r="923" spans="1:11" ht="94.5" x14ac:dyDescent="0.25">
      <c r="A923" s="1" t="str">
        <f>"A-49/2013"</f>
        <v>A-49/2013</v>
      </c>
      <c r="B923" s="1" t="s">
        <v>11</v>
      </c>
      <c r="C923" s="1" t="s">
        <v>2203</v>
      </c>
      <c r="D923" s="1" t="str">
        <f>"1886-2012-EMV"</f>
        <v>1886-2012-EMV</v>
      </c>
      <c r="E923" s="2"/>
      <c r="F923" s="1" t="str">
        <f>"0,00"</f>
        <v>0,00</v>
      </c>
      <c r="G923" s="1" t="str">
        <f>CONCATENATE("30.04.2013.",CHAR(10),"31.12.2013.")</f>
        <v>30.04.2013.
31.12.2013.</v>
      </c>
      <c r="H923" s="1" t="str">
        <f>CONCATENATE("GEO-BIM D.O.O., SAMOBOR",CHAR(10),"INŽENJERSKI PROJEKTNI ZAVOD D.D., ZAGREB")</f>
        <v>GEO-BIM D.O.O., SAMOBOR
INŽENJERSKI PROJEKTNI ZAVOD D.D., ZAGREB</v>
      </c>
      <c r="I923" s="2"/>
      <c r="J923" s="1"/>
      <c r="K923" s="2"/>
    </row>
    <row r="924" spans="1:11" ht="110.25" x14ac:dyDescent="0.25">
      <c r="A924" s="1" t="str">
        <f>"A-50/2013"</f>
        <v>A-50/2013</v>
      </c>
      <c r="B924" s="1" t="s">
        <v>11</v>
      </c>
      <c r="C924" s="1" t="s">
        <v>2204</v>
      </c>
      <c r="D924" s="1" t="str">
        <f>"1979-2012-EMV"</f>
        <v>1979-2012-EMV</v>
      </c>
      <c r="E924" s="2"/>
      <c r="F924" s="1" t="str">
        <f>"0,00"</f>
        <v>0,00</v>
      </c>
      <c r="G924" s="1" t="str">
        <f>CONCATENATE("30.04.2013.",CHAR(10),"31.12.2012.")</f>
        <v>30.04.2013.
31.12.2012.</v>
      </c>
      <c r="H924" s="1" t="str">
        <f>CONCATENATE("GEO-BIM D.O.O., SAMOBOR",CHAR(10),"INŽENJERSKI PROJEKTNI ZAVOD D.D., ZAGREB")</f>
        <v>GEO-BIM D.O.O., SAMOBOR
INŽENJERSKI PROJEKTNI ZAVOD D.D., ZAGREB</v>
      </c>
      <c r="I924" s="2"/>
      <c r="J924" s="1"/>
      <c r="K924" s="2"/>
    </row>
    <row r="925" spans="1:11" ht="47.25" x14ac:dyDescent="0.25">
      <c r="A925" s="1" t="str">
        <f>"205/2013"</f>
        <v>205/2013</v>
      </c>
      <c r="B925" s="1" t="s">
        <v>14</v>
      </c>
      <c r="C925" s="1" t="s">
        <v>2205</v>
      </c>
      <c r="D925" s="1" t="str">
        <f>CONCATENATE("249-2013-EMV",CHAR(10),"2013/S 002-0016402 od 22.02.2013.")</f>
        <v>249-2013-EMV
2013/S 002-0016402 od 22.02.2013.</v>
      </c>
      <c r="E925" s="1" t="s">
        <v>15</v>
      </c>
      <c r="F925" s="1" t="str">
        <f>"298.300,00"</f>
        <v>298.300,00</v>
      </c>
      <c r="G925" s="1" t="str">
        <f>CONCATENATE("30.04.2013.",CHAR(10),"31.12.2013.")</f>
        <v>30.04.2013.
31.12.2013.</v>
      </c>
      <c r="H925" s="1" t="str">
        <f>CONCATENATE("MULTISOFT D.O.O., ZAGREB")</f>
        <v>MULTISOFT D.O.O., ZAGREB</v>
      </c>
      <c r="I925" s="1" t="s">
        <v>203</v>
      </c>
      <c r="J925" s="1" t="str">
        <f>SUBSTITUTE(SUBSTITUTE(SUBSTITUTE("372,875.00",".","-"),",","."),"-",",")</f>
        <v>372.875,00</v>
      </c>
      <c r="K925" s="2"/>
    </row>
    <row r="926" spans="1:11" ht="63" x14ac:dyDescent="0.25">
      <c r="A926" s="1" t="str">
        <f>"A-51/2013"</f>
        <v>A-51/2013</v>
      </c>
      <c r="B926" s="1" t="s">
        <v>11</v>
      </c>
      <c r="C926" s="1" t="s">
        <v>2206</v>
      </c>
      <c r="D926" s="1" t="str">
        <f>"1947-2012-EMV"</f>
        <v>1947-2012-EMV</v>
      </c>
      <c r="E926" s="2"/>
      <c r="F926" s="1" t="str">
        <f>"0,00"</f>
        <v>0,00</v>
      </c>
      <c r="G926" s="1" t="str">
        <f>CONCATENATE("30.04.2013.",CHAR(10),"31.12.2013.")</f>
        <v>30.04.2013.
31.12.2013.</v>
      </c>
      <c r="H926" s="1" t="str">
        <f>CONCATENATE("JURCON PROJEKT D.O.O., ZAGREB",CHAR(10),"GEODIST D.O.O., ZAGREB")</f>
        <v>JURCON PROJEKT D.O.O., ZAGREB
GEODIST D.O.O., ZAGREB</v>
      </c>
      <c r="I926" s="2"/>
      <c r="J926" s="1"/>
      <c r="K926" s="2"/>
    </row>
    <row r="927" spans="1:11" ht="94.5" x14ac:dyDescent="0.25">
      <c r="A927" s="1" t="str">
        <f>"206/2013"</f>
        <v>206/2013</v>
      </c>
      <c r="B927" s="1" t="s">
        <v>14</v>
      </c>
      <c r="C927" s="1" t="s">
        <v>2207</v>
      </c>
      <c r="D927" s="1" t="str">
        <f>CONCATENATE("3139-2012-EMV",CHAR(10),"2013/S 002-0001844 od 10.1.2013.,isprav: 2013/S 014-0003840 od 17.1.2013. i 2013/S 014-0006313 od 25.01.2013.")</f>
        <v>3139-2012-EMV
2013/S 002-0001844 od 10.1.2013.,isprav: 2013/S 014-0003840 od 17.1.2013. i 2013/S 014-0006313 od 25.01.2013.</v>
      </c>
      <c r="E927" s="1" t="s">
        <v>15</v>
      </c>
      <c r="F927" s="1" t="str">
        <f>"435.000,00"</f>
        <v>435.000,00</v>
      </c>
      <c r="G927" s="1" t="str">
        <f>CONCATENATE("30.04.2013.",CHAR(10),"60 dana")</f>
        <v>30.04.2013.
60 dana</v>
      </c>
      <c r="H927" s="1" t="str">
        <f>CONCATENATE("HIDROELEKTRA-PROJEKT D.O.O., ZAGREB")</f>
        <v>HIDROELEKTRA-PROJEKT D.O.O., ZAGREB</v>
      </c>
      <c r="I927" s="2"/>
      <c r="J927" s="1"/>
      <c r="K927" s="2"/>
    </row>
    <row r="928" spans="1:11" ht="47.25" x14ac:dyDescent="0.25">
      <c r="A928" s="1" t="str">
        <f>"207/2013"</f>
        <v>207/2013</v>
      </c>
      <c r="B928" s="1" t="s">
        <v>14</v>
      </c>
      <c r="C928" s="1" t="s">
        <v>2208</v>
      </c>
      <c r="D928" s="1" t="str">
        <f>CONCATENATE("2454-2012-EMV",CHAR(10),"2013/s 002-0005988 od 25.01.2013.")</f>
        <v>2454-2012-EMV
2013/s 002-0005988 od 25.01.2013.</v>
      </c>
      <c r="E928" s="1" t="s">
        <v>15</v>
      </c>
      <c r="F928" s="1" t="str">
        <f>"72.580,00"</f>
        <v>72.580,00</v>
      </c>
      <c r="G928" s="1" t="str">
        <f>CONCATENATE("30.04.2013.",CHAR(10),"3 mjeseca")</f>
        <v>30.04.2013.
3 mjeseca</v>
      </c>
      <c r="H928" s="1" t="str">
        <f>CONCATENATE("THYSSENKRUPP DIZALA D.O.O., ZAGREB")</f>
        <v>THYSSENKRUPP DIZALA D.O.O., ZAGREB</v>
      </c>
      <c r="I928" s="2"/>
      <c r="J928" s="1"/>
      <c r="K928" s="2"/>
    </row>
    <row r="929" spans="1:11" ht="47.25" x14ac:dyDescent="0.25">
      <c r="A929" s="1" t="str">
        <f>"208/2013"</f>
        <v>208/2013</v>
      </c>
      <c r="B929" s="1" t="s">
        <v>14</v>
      </c>
      <c r="C929" s="1" t="s">
        <v>2209</v>
      </c>
      <c r="D929" s="1" t="str">
        <f>CONCATENATE("1128-2012-EMV",CHAR(10),"2013/S 002-0005000 od 22.01.2013.")</f>
        <v>1128-2012-EMV
2013/S 002-0005000 od 22.01.2013.</v>
      </c>
      <c r="E929" s="1" t="s">
        <v>15</v>
      </c>
      <c r="F929" s="1" t="str">
        <f>"216.900,00"</f>
        <v>216.900,00</v>
      </c>
      <c r="G929" s="1" t="str">
        <f>CONCATENATE("02.05.2013.",CHAR(10),"6 mjeseci")</f>
        <v>02.05.2013.
6 mjeseci</v>
      </c>
      <c r="H929" s="1" t="str">
        <f>CONCATENATE("OIKON D.O.O., ZAGREB",CHAR(10),"HRVATSKI PRIRODOSLOVNI MUZEJ, ZAGREB")</f>
        <v>OIKON D.O.O., ZAGREB
HRVATSKI PRIRODOSLOVNI MUZEJ, ZAGREB</v>
      </c>
      <c r="I929" s="1" t="s">
        <v>285</v>
      </c>
      <c r="J929" s="1" t="str">
        <f>SUBSTITUTE(SUBSTITUTE(SUBSTITUTE("271,125.00",".","-"),",","."),"-",",")</f>
        <v>271.125,00</v>
      </c>
      <c r="K929" s="2"/>
    </row>
    <row r="930" spans="1:11" ht="78.75" x14ac:dyDescent="0.25">
      <c r="A930" s="1" t="str">
        <f>"209/2013"</f>
        <v>209/2013</v>
      </c>
      <c r="B930" s="1" t="s">
        <v>14</v>
      </c>
      <c r="C930" s="1" t="s">
        <v>2210</v>
      </c>
      <c r="D930" s="1" t="str">
        <f>CONCATENATE("1680-2013-EMV",CHAR(10),"2013/S 002-0019520 od 04.03.2013., ispravak 2013/S 014-0025506 od 20.03.2013.")</f>
        <v>1680-2013-EMV
2013/S 002-0019520 od 04.03.2013., ispravak 2013/S 014-0025506 od 20.03.2013.</v>
      </c>
      <c r="E930" s="1" t="s">
        <v>15</v>
      </c>
      <c r="F930" s="1" t="str">
        <f>"965.782,00"</f>
        <v>965.782,00</v>
      </c>
      <c r="G930" s="1" t="str">
        <f>CONCATENATE("02.05.2013.",CHAR(10),"10 mjeseci")</f>
        <v>02.05.2013.
10 mjeseci</v>
      </c>
      <c r="H930" s="1" t="str">
        <f>CONCATENATE("SIGNALIZACIJA D.O.O., ZAGREB")</f>
        <v>SIGNALIZACIJA D.O.O., ZAGREB</v>
      </c>
      <c r="I930" s="1" t="s">
        <v>352</v>
      </c>
      <c r="J930" s="1" t="str">
        <f>SUBSTITUTE(SUBSTITUTE(SUBSTITUTE("1,207,031.35",".","-"),",","."),"-",",")</f>
        <v>1.207.031,35</v>
      </c>
      <c r="K930" s="2"/>
    </row>
    <row r="931" spans="1:11" ht="63" x14ac:dyDescent="0.25">
      <c r="A931" s="1" t="str">
        <f>"210/2013"</f>
        <v>210/2013</v>
      </c>
      <c r="B931" s="1" t="s">
        <v>26</v>
      </c>
      <c r="C931" s="1" t="s">
        <v>2211</v>
      </c>
      <c r="D931" s="1" t="str">
        <f>"EV-822-012/2011"</f>
        <v>EV-822-012/2011</v>
      </c>
      <c r="E931" s="2"/>
      <c r="F931" s="1" t="str">
        <f>"564.780,00"</f>
        <v>564.780,00</v>
      </c>
      <c r="G931" s="1" t="str">
        <f>CONCATENATE("03.05.2013.",CHAR(10),"1 godina")</f>
        <v>03.05.2013.
1 godina</v>
      </c>
      <c r="H931" s="1" t="str">
        <f>CONCATENATE("ZLATNA CIPELICA, OBRT ZA TRGOVINU, PRIJEVOZ I IZNAJMLJIVANJE, ZAGREB")</f>
        <v>ZLATNA CIPELICA, OBRT ZA TRGOVINU, PRIJEVOZ I IZNAJMLJIVANJE, ZAGREB</v>
      </c>
      <c r="I931" s="1" t="s">
        <v>391</v>
      </c>
      <c r="J931" s="1" t="str">
        <f>SUBSTITUTE(SUBSTITUTE(SUBSTITUTE("97,217.30",".","-"),",","."),"-",",")</f>
        <v>97.217,30</v>
      </c>
      <c r="K931" s="2"/>
    </row>
    <row r="932" spans="1:11" ht="31.5" x14ac:dyDescent="0.25">
      <c r="A932" s="1" t="str">
        <f>"A-52/2013"</f>
        <v>A-52/2013</v>
      </c>
      <c r="B932" s="1" t="s">
        <v>11</v>
      </c>
      <c r="C932" s="1" t="s">
        <v>2212</v>
      </c>
      <c r="D932" s="1" t="str">
        <f>"2-2012-EMV"</f>
        <v>2-2012-EMV</v>
      </c>
      <c r="E932" s="2"/>
      <c r="F932" s="1" t="str">
        <f>"0,00"</f>
        <v>0,00</v>
      </c>
      <c r="G932" s="1" t="str">
        <f>"03.05.2013."</f>
        <v>03.05.2013.</v>
      </c>
      <c r="H932" s="1" t="str">
        <f>CONCATENATE("SPLENDID UGOSTITELJSTVO D.O.O., ZAGREB")</f>
        <v>SPLENDID UGOSTITELJSTVO D.O.O., ZAGREB</v>
      </c>
      <c r="I932" s="2"/>
      <c r="J932" s="1"/>
      <c r="K932" s="2"/>
    </row>
    <row r="933" spans="1:11" ht="31.5" x14ac:dyDescent="0.25">
      <c r="A933" s="1" t="str">
        <f>"A-53/2013"</f>
        <v>A-53/2013</v>
      </c>
      <c r="B933" s="1" t="s">
        <v>11</v>
      </c>
      <c r="C933" s="1" t="s">
        <v>2213</v>
      </c>
      <c r="D933" s="1" t="str">
        <f>"1946-2012-EMV"</f>
        <v>1946-2012-EMV</v>
      </c>
      <c r="E933" s="2"/>
      <c r="F933" s="1" t="str">
        <f>"0,00"</f>
        <v>0,00</v>
      </c>
      <c r="G933" s="1" t="str">
        <f>CONCATENATE("06.05.2013.",CHAR(10),"25.05.2013.")</f>
        <v>06.05.2013.
25.05.2013.</v>
      </c>
      <c r="H933" s="1" t="str">
        <f>CONCATENATE("SPEKTAR GRADNJA D.O.O., ZAGREB")</f>
        <v>SPEKTAR GRADNJA D.O.O., ZAGREB</v>
      </c>
      <c r="I933" s="2"/>
      <c r="J933" s="1"/>
      <c r="K933" s="2"/>
    </row>
    <row r="934" spans="1:11" ht="63" x14ac:dyDescent="0.25">
      <c r="A934" s="1" t="str">
        <f>"A-54/2013"</f>
        <v>A-54/2013</v>
      </c>
      <c r="B934" s="1" t="s">
        <v>11</v>
      </c>
      <c r="C934" s="1" t="s">
        <v>2214</v>
      </c>
      <c r="D934" s="1" t="str">
        <f>"1988-2012-EMV"</f>
        <v>1988-2012-EMV</v>
      </c>
      <c r="E934" s="2"/>
      <c r="F934" s="1" t="str">
        <f>"0,00"</f>
        <v>0,00</v>
      </c>
      <c r="G934" s="1" t="str">
        <f>CONCATENATE("06.05.2013.",CHAR(10),"31.12.2013.")</f>
        <v>06.05.2013.
31.12.2013.</v>
      </c>
      <c r="H934" s="1" t="str">
        <f>CONCATENATE("ARHINET D.O.O., ZAGREB",CHAR(10),"EKSPERTERM D.O.O., ZAGREB",CHAR(10),"ETS FARAGO D.O.O., ZAGREB",CHAR(10),"TENZOR D.O.O., ZAGREB")</f>
        <v>ARHINET D.O.O., ZAGREB
EKSPERTERM D.O.O., ZAGREB
ETS FARAGO D.O.O., ZAGREB
TENZOR D.O.O., ZAGREB</v>
      </c>
      <c r="I934" s="2"/>
      <c r="J934" s="1"/>
      <c r="K934" s="2"/>
    </row>
    <row r="935" spans="1:11" ht="63" x14ac:dyDescent="0.25">
      <c r="A935" s="1" t="str">
        <f>"211/2013"</f>
        <v>211/2013</v>
      </c>
      <c r="B935" s="1" t="s">
        <v>14</v>
      </c>
      <c r="C935" s="1" t="s">
        <v>2215</v>
      </c>
      <c r="D935" s="1" t="str">
        <f>CONCATENATE("231-2013-EVV",CHAR(10),"2013/S 002-0015958 od 22.02.2013.")</f>
        <v>231-2013-EVV
2013/S 002-0015958 od 22.02.2013.</v>
      </c>
      <c r="E935" s="1" t="s">
        <v>15</v>
      </c>
      <c r="F935" s="1" t="str">
        <f>"3.694.134,00"</f>
        <v>3.694.134,00</v>
      </c>
      <c r="G935" s="1" t="str">
        <f>CONCATENATE("07.05.2013.",CHAR(10),"do realizacije planiranih sredstava predviđenih za predmetnu nabavu")</f>
        <v>07.05.2013.
do realizacije planiranih sredstava predviđenih za predmetnu nabavu</v>
      </c>
      <c r="H935" s="1" t="str">
        <f>CONCATENATE("EBC SISTEMI D.O.O., ZAGREB")</f>
        <v>EBC SISTEMI D.O.O., ZAGREB</v>
      </c>
      <c r="I935" s="1" t="s">
        <v>392</v>
      </c>
      <c r="J935" s="1" t="str">
        <f>SUBSTITUTE(SUBSTITUTE(SUBSTITUTE("4,617,667.50",".","-"),",","."),"-",",")</f>
        <v>4.617.667,50</v>
      </c>
      <c r="K935" s="2"/>
    </row>
    <row r="936" spans="1:11" ht="47.25" x14ac:dyDescent="0.25">
      <c r="A936" s="1" t="str">
        <f>"212/2013"</f>
        <v>212/2013</v>
      </c>
      <c r="B936" s="1" t="s">
        <v>14</v>
      </c>
      <c r="C936" s="1" t="s">
        <v>2216</v>
      </c>
      <c r="D936" s="1" t="str">
        <f>CONCATENATE("3142-2012-EMV",CHAR(10),"2013/S 002-0005127 od 22.01.2013.")</f>
        <v>3142-2012-EMV
2013/S 002-0005127 od 22.01.2013.</v>
      </c>
      <c r="E936" s="1" t="s">
        <v>15</v>
      </c>
      <c r="F936" s="1" t="str">
        <f>"118.905,00"</f>
        <v>118.905,00</v>
      </c>
      <c r="G936" s="1" t="str">
        <f>CONCATENATE("07.05.2013.",CHAR(10),"30 dana")</f>
        <v>07.05.2013.
30 dana</v>
      </c>
      <c r="H936" s="1" t="str">
        <f>CONCATENATE("HEDOM D.O.O., ZAGREB",CHAR(10),"KEMIS-TERMOCLEAN D.O.O., ZAGREB")</f>
        <v>HEDOM D.O.O., ZAGREB
KEMIS-TERMOCLEAN D.O.O., ZAGREB</v>
      </c>
      <c r="I936" s="2"/>
      <c r="J936" s="1"/>
      <c r="K936" s="2"/>
    </row>
    <row r="937" spans="1:11" ht="78.75" x14ac:dyDescent="0.25">
      <c r="A937" s="1" t="str">
        <f>"213/2013"</f>
        <v>213/2013</v>
      </c>
      <c r="B937" s="1" t="s">
        <v>14</v>
      </c>
      <c r="C937" s="1" t="s">
        <v>2217</v>
      </c>
      <c r="D937" s="1" t="str">
        <f>CONCATENATE("2450-2012-EMV",CHAR(10),"2013/S 002-0012684 od 13.02.2013, ispravak 2013/S 014-0017175 od 26.02.2013.")</f>
        <v>2450-2012-EMV
2013/S 002-0012684 od 13.02.2013, ispravak 2013/S 014-0017175 od 26.02.2013.</v>
      </c>
      <c r="E937" s="1" t="s">
        <v>15</v>
      </c>
      <c r="F937" s="1" t="str">
        <f>"259.450,00"</f>
        <v>259.450,00</v>
      </c>
      <c r="G937" s="1" t="str">
        <f>CONCATENATE("07.05.2013.",CHAR(10),"12 mjeseci")</f>
        <v>07.05.2013.
12 mjeseci</v>
      </c>
      <c r="H937" s="1" t="str">
        <f>CONCATENATE("ŠANDRK PROJEKT D.O.O., DUGO SELO")</f>
        <v>ŠANDRK PROJEKT D.O.O., DUGO SELO</v>
      </c>
      <c r="I937" s="1" t="s">
        <v>203</v>
      </c>
      <c r="J937" s="1" t="str">
        <f>SUBSTITUTE(SUBSTITUTE(SUBSTITUTE("324,312.50",".","-"),",","."),"-",",")</f>
        <v>324.312,50</v>
      </c>
      <c r="K937" s="2"/>
    </row>
    <row r="938" spans="1:11" ht="63" x14ac:dyDescent="0.25">
      <c r="A938" s="1" t="str">
        <f>"214/2013"</f>
        <v>214/2013</v>
      </c>
      <c r="B938" s="1" t="s">
        <v>14</v>
      </c>
      <c r="C938" s="1" t="s">
        <v>2218</v>
      </c>
      <c r="D938" s="1" t="str">
        <f>CONCATENATE("2585-2012-EMV",CHAR(10),"2012/S-002-0087476 od 04.12.2012.")</f>
        <v>2585-2012-EMV
2012/S-002-0087476 od 04.12.2012.</v>
      </c>
      <c r="E938" s="1" t="s">
        <v>15</v>
      </c>
      <c r="F938" s="1" t="str">
        <f>"92.946,00"</f>
        <v>92.946,00</v>
      </c>
      <c r="G938" s="1" t="str">
        <f>CONCATENATE("07.05.2013.",CHAR(10),"60 dana")</f>
        <v>07.05.2013.
60 dana</v>
      </c>
      <c r="H938" s="1" t="str">
        <f>CONCATENATE("E.G.S.-ELEKTROGRADITELJSTVO D.O.O., ZAGREB",CHAR(10),"USUS FRUCTUS D.O.O., ZAGREB-SUSEDGRAD")</f>
        <v>E.G.S.-ELEKTROGRADITELJSTVO D.O.O., ZAGREB
USUS FRUCTUS D.O.O., ZAGREB-SUSEDGRAD</v>
      </c>
      <c r="I938" s="1" t="s">
        <v>203</v>
      </c>
      <c r="J938" s="1" t="str">
        <f>SUBSTITUTE(SUBSTITUTE(SUBSTITUTE("116,129.44",".","-"),",","."),"-",",")</f>
        <v>116.129,44</v>
      </c>
      <c r="K938" s="2"/>
    </row>
    <row r="939" spans="1:11" ht="47.25" x14ac:dyDescent="0.25">
      <c r="A939" s="1" t="str">
        <f>"215/2013"</f>
        <v>215/2013</v>
      </c>
      <c r="B939" s="1" t="s">
        <v>14</v>
      </c>
      <c r="C939" s="1" t="s">
        <v>2219</v>
      </c>
      <c r="D939" s="1" t="str">
        <f>CONCATENATE("433-2012-EMV",CHAR(10),"2012/S 002-0081400 od 19.11.2012.")</f>
        <v>433-2012-EMV
2012/S 002-0081400 od 19.11.2012.</v>
      </c>
      <c r="E939" s="1" t="s">
        <v>15</v>
      </c>
      <c r="F939" s="1" t="str">
        <f>"698.966,50"</f>
        <v>698.966,50</v>
      </c>
      <c r="G939" s="1" t="str">
        <f>CONCATENATE("08.05.2013.",CHAR(10),"90 dana")</f>
        <v>08.05.2013.
90 dana</v>
      </c>
      <c r="H939" s="1" t="str">
        <f>CONCATENATE("E.G.S.-ELEKTROGRADITELJSTVO D.O.O., ZAGREB")</f>
        <v>E.G.S.-ELEKTROGRADITELJSTVO D.O.O., ZAGREB</v>
      </c>
      <c r="I939" s="2"/>
      <c r="J939" s="1"/>
      <c r="K939" s="2"/>
    </row>
    <row r="940" spans="1:11" ht="63" x14ac:dyDescent="0.25">
      <c r="A940" s="1" t="str">
        <f>"A-55/2013"</f>
        <v>A-55/2013</v>
      </c>
      <c r="B940" s="1" t="s">
        <v>11</v>
      </c>
      <c r="C940" s="1" t="s">
        <v>2220</v>
      </c>
      <c r="D940" s="1" t="str">
        <f>"1127-2012-EMV"</f>
        <v>1127-2012-EMV</v>
      </c>
      <c r="E940" s="2"/>
      <c r="F940" s="1" t="str">
        <f>"0,00"</f>
        <v>0,00</v>
      </c>
      <c r="G940" s="1" t="str">
        <f>CONCATENATE("10.05.2013.",CHAR(10),"11.06.2013")</f>
        <v>10.05.2013.
11.06.2013</v>
      </c>
      <c r="H940" s="1" t="str">
        <f>CONCATENATE("DARH 2 D.O.O., SAMOBOR")</f>
        <v>DARH 2 D.O.O., SAMOBOR</v>
      </c>
      <c r="I940" s="2"/>
      <c r="J940" s="1"/>
      <c r="K940" s="2"/>
    </row>
    <row r="941" spans="1:11" ht="31.5" x14ac:dyDescent="0.25">
      <c r="A941" s="1" t="str">
        <f>"216/2013"</f>
        <v>216/2013</v>
      </c>
      <c r="B941" s="1" t="s">
        <v>26</v>
      </c>
      <c r="C941" s="1" t="s">
        <v>2221</v>
      </c>
      <c r="D941" s="1" t="str">
        <f>"130-2012-EVV"</f>
        <v>130-2012-EVV</v>
      </c>
      <c r="E941" s="2"/>
      <c r="F941" s="1" t="str">
        <f>"5.485.965,00"</f>
        <v>5.485.965,00</v>
      </c>
      <c r="G941" s="1" t="str">
        <f>CONCATENATE("01.07.2013.",CHAR(10),"1 godina")</f>
        <v>01.07.2013.
1 godina</v>
      </c>
      <c r="H941" s="1" t="str">
        <f>CONCATENATE("STORM COMPUTERS D.O.O., ZAGREB",CHAR(10),"EBC SISTEMI D.O.O., ZAGREB")</f>
        <v>STORM COMPUTERS D.O.O., ZAGREB
EBC SISTEMI D.O.O., ZAGREB</v>
      </c>
      <c r="I941" s="1" t="s">
        <v>147</v>
      </c>
      <c r="J941" s="1" t="str">
        <f>SUBSTITUTE(SUBSTITUTE(SUBSTITUTE("6,857,361.15",".","-"),",","."),"-",",")</f>
        <v>6.857.361,15</v>
      </c>
      <c r="K941" s="2"/>
    </row>
    <row r="942" spans="1:11" ht="47.25" x14ac:dyDescent="0.25">
      <c r="A942" s="1" t="str">
        <f>"217/2013"</f>
        <v>217/2013</v>
      </c>
      <c r="B942" s="1" t="s">
        <v>14</v>
      </c>
      <c r="C942" s="1" t="s">
        <v>2222</v>
      </c>
      <c r="D942" s="1" t="str">
        <f>CONCATENATE("809-2012-EMV",CHAR(10),"2012/S 002-0086228 od 30.11.2012.")</f>
        <v>809-2012-EMV
2012/S 002-0086228 od 30.11.2012.</v>
      </c>
      <c r="E942" s="1" t="s">
        <v>15</v>
      </c>
      <c r="F942" s="1" t="str">
        <f>"93.800,00"</f>
        <v>93.800,00</v>
      </c>
      <c r="G942" s="1" t="str">
        <f>CONCATENATE("10.05.2013.",CHAR(10),"40 dana")</f>
        <v>10.05.2013.
40 dana</v>
      </c>
      <c r="H942" s="1" t="str">
        <f>CONCATENATE("INSTITUT IGH D.D., ZAGREB")</f>
        <v>INSTITUT IGH D.D., ZAGREB</v>
      </c>
      <c r="I942" s="2"/>
      <c r="J942" s="1"/>
      <c r="K942" s="2"/>
    </row>
    <row r="943" spans="1:11" ht="47.25" x14ac:dyDescent="0.25">
      <c r="A943" s="1" t="str">
        <f>"218/2013"</f>
        <v>218/2013</v>
      </c>
      <c r="B943" s="1" t="s">
        <v>14</v>
      </c>
      <c r="C943" s="1" t="s">
        <v>2223</v>
      </c>
      <c r="D943" s="1" t="str">
        <f>CONCATENATE("1676-2013-EMV",CHAR(10),"2013/S 002-0017821 od 27.02.2013.")</f>
        <v>1676-2013-EMV
2013/S 002-0017821 od 27.02.2013.</v>
      </c>
      <c r="E943" s="1" t="s">
        <v>15</v>
      </c>
      <c r="F943" s="1" t="str">
        <f>"259.773,00"</f>
        <v>259.773,00</v>
      </c>
      <c r="G943" s="1" t="str">
        <f>CONCATENATE("10.05.2013.",CHAR(10),"10 mjeseci")</f>
        <v>10.05.2013.
10 mjeseci</v>
      </c>
      <c r="H943" s="1" t="str">
        <f>CONCATENATE("INSTITUT IGH D.D., ZAGREB")</f>
        <v>INSTITUT IGH D.D., ZAGREB</v>
      </c>
      <c r="I943" s="2"/>
      <c r="J943" s="1"/>
      <c r="K943" s="2"/>
    </row>
    <row r="944" spans="1:11" ht="47.25" x14ac:dyDescent="0.25">
      <c r="A944" s="1" t="str">
        <f>"219/2013"</f>
        <v>219/2013</v>
      </c>
      <c r="B944" s="1" t="s">
        <v>14</v>
      </c>
      <c r="C944" s="1" t="s">
        <v>2224</v>
      </c>
      <c r="D944" s="1" t="str">
        <f>CONCATENATE("1266-2013-EMV",CHAR(10),"2013/S 015-0036820 od 22.04.2013.")</f>
        <v>1266-2013-EMV
2013/S 015-0036820 od 22.04.2013.</v>
      </c>
      <c r="E944" s="1" t="s">
        <v>12</v>
      </c>
      <c r="F944" s="1" t="str">
        <f>"296.128,24"</f>
        <v>296.128,24</v>
      </c>
      <c r="G944" s="1" t="str">
        <f>CONCATENATE("10.05.2013.",CHAR(10),"45 dana")</f>
        <v>10.05.2013.
45 dana</v>
      </c>
      <c r="H944" s="1" t="str">
        <f>CONCATENATE("TEH-GRADNJA D.O.O., ZAGREB")</f>
        <v>TEH-GRADNJA D.O.O., ZAGREB</v>
      </c>
      <c r="I944" s="2"/>
      <c r="J944" s="1"/>
      <c r="K944" s="2"/>
    </row>
    <row r="945" spans="1:11" ht="47.25" x14ac:dyDescent="0.25">
      <c r="A945" s="1" t="str">
        <f>"220/2013"</f>
        <v>220/2013</v>
      </c>
      <c r="B945" s="1" t="s">
        <v>14</v>
      </c>
      <c r="C945" s="1" t="s">
        <v>2225</v>
      </c>
      <c r="D945" s="1" t="str">
        <f>CONCATENATE("1291-2013-EMV",CHAR(10),"2013/S 001-0018538 od 01.03.2013.")</f>
        <v>1291-2013-EMV
2013/S 001-0018538 od 01.03.2013.</v>
      </c>
      <c r="E945" s="1" t="s">
        <v>15</v>
      </c>
      <c r="F945" s="1" t="str">
        <f>"145.235,20"</f>
        <v>145.235,20</v>
      </c>
      <c r="G945" s="1" t="str">
        <f>CONCATENATE("10.05.2013.",CHAR(10),"60 dana")</f>
        <v>10.05.2013.
60 dana</v>
      </c>
      <c r="H945" s="1" t="str">
        <f>CONCATENATE("NERING D.O.O., SESVETE",CHAR(10),"FANOS D.O.O.,",CHAR(10),"MJERNIK LIMA D.O.O., ZAGREB")</f>
        <v>NERING D.O.O., SESVETE
FANOS D.O.O.,
MJERNIK LIMA D.O.O., ZAGREB</v>
      </c>
      <c r="I945" s="1" t="s">
        <v>393</v>
      </c>
      <c r="J945" s="1" t="str">
        <f>SUBSTITUTE(SUBSTITUTE(SUBSTITUTE("136,241.75",".","-"),",","."),"-",",")</f>
        <v>136.241,75</v>
      </c>
      <c r="K945" s="2"/>
    </row>
    <row r="946" spans="1:11" ht="47.25" x14ac:dyDescent="0.25">
      <c r="A946" s="1" t="str">
        <f>"222/2013"</f>
        <v>222/2013</v>
      </c>
      <c r="B946" s="1" t="s">
        <v>14</v>
      </c>
      <c r="C946" s="1" t="s">
        <v>692</v>
      </c>
      <c r="D946" s="1" t="str">
        <f>CONCATENATE("1294-2013-EMV",CHAR(10),"2013/S 002-0018624 od 01.03.2013.")</f>
        <v>1294-2013-EMV
2013/S 002-0018624 od 01.03.2013.</v>
      </c>
      <c r="E946" s="1" t="s">
        <v>15</v>
      </c>
      <c r="F946" s="1" t="str">
        <f>"214.200,00"</f>
        <v>214.200,00</v>
      </c>
      <c r="G946" s="1" t="str">
        <f>CONCATENATE("13.05.2013.",CHAR(10),"60 dana")</f>
        <v>13.05.2013.
60 dana</v>
      </c>
      <c r="H946" s="1" t="str">
        <f>CONCATENATE("FANOS D.O.O.,")</f>
        <v>FANOS D.O.O.,</v>
      </c>
      <c r="I946" s="1" t="s">
        <v>394</v>
      </c>
      <c r="J946" s="1" t="str">
        <f>SUBSTITUTE(SUBSTITUTE(SUBSTITUTE("267,750.00",".","-"),",","."),"-",",")</f>
        <v>267.750,00</v>
      </c>
      <c r="K946" s="2"/>
    </row>
    <row r="947" spans="1:11" ht="47.25" x14ac:dyDescent="0.25">
      <c r="A947" s="1" t="str">
        <f>"223/2013"</f>
        <v>223/2013</v>
      </c>
      <c r="B947" s="1" t="s">
        <v>14</v>
      </c>
      <c r="C947" s="1" t="s">
        <v>1771</v>
      </c>
      <c r="D947" s="1" t="str">
        <f>CONCATENATE("249-2013-EMV",CHAR(10),"2013/S 002-0016402 od 22.02.2013.")</f>
        <v>249-2013-EMV
2013/S 002-0016402 od 22.02.2013.</v>
      </c>
      <c r="E947" s="1" t="s">
        <v>15</v>
      </c>
      <c r="F947" s="1" t="str">
        <f>"859.207,00"</f>
        <v>859.207,00</v>
      </c>
      <c r="G947" s="1" t="str">
        <f>CONCATENATE("13.05.2013.",CHAR(10),"31.12.2013.")</f>
        <v>13.05.2013.
31.12.2013.</v>
      </c>
      <c r="H947" s="1" t="str">
        <f>CONCATENATE("GDI GISDATA D.O.O., ZAGREB")</f>
        <v>GDI GISDATA D.O.O., ZAGREB</v>
      </c>
      <c r="I947" s="1" t="s">
        <v>203</v>
      </c>
      <c r="J947" s="1" t="str">
        <f>SUBSTITUTE(SUBSTITUTE(SUBSTITUTE("1,074,008.75",".","-"),",","."),"-",",")</f>
        <v>1.074.008,75</v>
      </c>
      <c r="K947" s="2"/>
    </row>
    <row r="948" spans="1:11" ht="47.25" x14ac:dyDescent="0.25">
      <c r="A948" s="1" t="str">
        <f>"224/2013"</f>
        <v>224/2013</v>
      </c>
      <c r="B948" s="1" t="s">
        <v>14</v>
      </c>
      <c r="C948" s="1" t="s">
        <v>2226</v>
      </c>
      <c r="D948" s="1" t="str">
        <f>CONCATENATE("180-2013-EMV",CHAR(10),"2013/S 002-0018805 od 01.03.2013.")</f>
        <v>180-2013-EMV
2013/S 002-0018805 od 01.03.2013.</v>
      </c>
      <c r="E948" s="1" t="s">
        <v>15</v>
      </c>
      <c r="F948" s="1" t="str">
        <f>"736.454,40"</f>
        <v>736.454,40</v>
      </c>
      <c r="G948" s="1" t="str">
        <f>CONCATENATE("29.04.2013.",CHAR(10),"1 godina")</f>
        <v>29.04.2013.
1 godina</v>
      </c>
      <c r="H948" s="1" t="str">
        <f>CONCATENATE("MEDIA POLIS D.O.O., ZAGREB")</f>
        <v>MEDIA POLIS D.O.O., ZAGREB</v>
      </c>
      <c r="I948" s="2"/>
      <c r="J948" s="1"/>
      <c r="K948" s="2"/>
    </row>
    <row r="949" spans="1:11" ht="47.25" x14ac:dyDescent="0.25">
      <c r="A949" s="1" t="str">
        <f>"225/2013"</f>
        <v>225/2013</v>
      </c>
      <c r="B949" s="1" t="s">
        <v>14</v>
      </c>
      <c r="C949" s="1" t="s">
        <v>2227</v>
      </c>
      <c r="D949" s="1" t="str">
        <f>CONCATENATE("2462-2012-EMV",CHAR(10),"2013/S 015-0038640 od 26.04.2013.")</f>
        <v>2462-2012-EMV
2013/S 015-0038640 od 26.04.2013.</v>
      </c>
      <c r="E949" s="1" t="s">
        <v>12</v>
      </c>
      <c r="F949" s="1" t="str">
        <f>"179.564,13"</f>
        <v>179.564,13</v>
      </c>
      <c r="G949" s="1" t="str">
        <f>CONCATENATE("16.05.2013.",CHAR(10),"15 dana")</f>
        <v>16.05.2013.
15 dana</v>
      </c>
      <c r="H949" s="1" t="str">
        <f>CONCATENATE("GEORAD D.O.O., ZAGREB")</f>
        <v>GEORAD D.O.O., ZAGREB</v>
      </c>
      <c r="I949" s="2"/>
      <c r="J949" s="1"/>
      <c r="K949" s="2"/>
    </row>
    <row r="950" spans="1:11" ht="47.25" x14ac:dyDescent="0.25">
      <c r="A950" s="1" t="str">
        <f>"A-56/2013"</f>
        <v>A-56/2013</v>
      </c>
      <c r="B950" s="1" t="s">
        <v>11</v>
      </c>
      <c r="C950" s="1" t="s">
        <v>2228</v>
      </c>
      <c r="D950" s="1" t="str">
        <f>"EV-592-012/2011"</f>
        <v>EV-592-012/2011</v>
      </c>
      <c r="E950" s="2"/>
      <c r="F950" s="1" t="str">
        <f>"0,00"</f>
        <v>0,00</v>
      </c>
      <c r="G950" s="1" t="str">
        <f>CONCATENATE("16.05.2013.",CHAR(10),"405 dana")</f>
        <v>16.05.2013.
405 dana</v>
      </c>
      <c r="H950" s="1" t="str">
        <f>CONCATENATE("NEXE GRADNJA D.O.O., NAŠICE")</f>
        <v>NEXE GRADNJA D.O.O., NAŠICE</v>
      </c>
      <c r="I950" s="2"/>
      <c r="J950" s="1"/>
      <c r="K950" s="2"/>
    </row>
    <row r="951" spans="1:11" ht="63" x14ac:dyDescent="0.25">
      <c r="A951" s="1" t="str">
        <f>"226/2013"</f>
        <v>226/2013</v>
      </c>
      <c r="B951" s="1" t="s">
        <v>14</v>
      </c>
      <c r="C951" s="1" t="s">
        <v>2229</v>
      </c>
      <c r="D951" s="1" t="str">
        <f>"2012/S 002-0081543 OD 16.11.2012., ispravk 2012/S 014-0092251 od 18.12.2012."</f>
        <v>2012/S 002-0081543 OD 16.11.2012., ispravk 2012/S 014-0092251 od 18.12.2012.</v>
      </c>
      <c r="E951" s="1" t="s">
        <v>15</v>
      </c>
      <c r="F951" s="1" t="str">
        <f>"2.163.714,00"</f>
        <v>2.163.714,00</v>
      </c>
      <c r="G951" s="1" t="str">
        <f>CONCATENATE("16.05.2013.",CHAR(10),"60 dana")</f>
        <v>16.05.2013.
60 dana</v>
      </c>
      <c r="H951" s="1" t="str">
        <f>CONCATENATE("DIV D.O.O., SAMOBOR")</f>
        <v>DIV D.O.O., SAMOBOR</v>
      </c>
      <c r="I951" s="2"/>
      <c r="J951" s="1"/>
      <c r="K951" s="2"/>
    </row>
    <row r="952" spans="1:11" ht="78.75" x14ac:dyDescent="0.25">
      <c r="A952" s="1" t="str">
        <f>"227/2013"</f>
        <v>227/2013</v>
      </c>
      <c r="B952" s="1" t="s">
        <v>14</v>
      </c>
      <c r="C952" s="1" t="s">
        <v>2230</v>
      </c>
      <c r="D952" s="1" t="str">
        <f>CONCATENATE("2591-2012-EMV",CHAR(10),"2013/S 002-0005070 od 22.01.2012, ispravak 2013/S 014-0007242 od 29.01.2013.")</f>
        <v>2591-2012-EMV
2013/S 002-0005070 od 22.01.2012, ispravak 2013/S 014-0007242 od 29.01.2013.</v>
      </c>
      <c r="E952" s="1" t="s">
        <v>15</v>
      </c>
      <c r="F952" s="1" t="str">
        <f>"185.171,60"</f>
        <v>185.171,60</v>
      </c>
      <c r="G952" s="1" t="str">
        <f>CONCATENATE("17.05.2013.",CHAR(10),"60 dana")</f>
        <v>17.05.2013.
60 dana</v>
      </c>
      <c r="H952" s="1" t="str">
        <f>CONCATENATE("ELEKTROCENTAR PETEK D.O.O., IVANIĆ-GRAD",CHAR(10),"GEOMETRICUS D.O.O., KUTJEVO")</f>
        <v>ELEKTROCENTAR PETEK D.O.O., IVANIĆ-GRAD
GEOMETRICUS D.O.O., KUTJEVO</v>
      </c>
      <c r="I952" s="1" t="s">
        <v>395</v>
      </c>
      <c r="J952" s="1" t="str">
        <f>SUBSTITUTE(SUBSTITUTE(SUBSTITUTE("201,840.56",".","-"),",","."),"-",",")</f>
        <v>201.840,56</v>
      </c>
      <c r="K952" s="2"/>
    </row>
    <row r="953" spans="1:11" ht="78.75" x14ac:dyDescent="0.25">
      <c r="A953" s="1" t="str">
        <f>"230/2013"</f>
        <v>230/2013</v>
      </c>
      <c r="B953" s="1" t="s">
        <v>14</v>
      </c>
      <c r="C953" s="1" t="s">
        <v>2231</v>
      </c>
      <c r="D953" s="1" t="str">
        <f>CONCATENATE("892-2012-EMV",CHAR(10),"2012/S 002-0084068 od 26.11.2012.")</f>
        <v>892-2012-EMV
2012/S 002-0084068 od 26.11.2012.</v>
      </c>
      <c r="E953" s="1" t="s">
        <v>15</v>
      </c>
      <c r="F953" s="1" t="str">
        <f>"436.981,00"</f>
        <v>436.981,00</v>
      </c>
      <c r="G953" s="1" t="str">
        <f>CONCATENATE("20.05.2013.",CHAR(10),"6 mjeseci")</f>
        <v>20.05.2013.
6 mjeseci</v>
      </c>
      <c r="H953" s="1" t="str">
        <f>CONCATENATE("VERKEHRPLUS PROGNOSE, PLANUNG UND STRATEGIEBERATUNG GMBG, GRAZ",CHAR(10),"ŽELJEZNIČKO PROJEKTNO DRUŠTVO, ZAGREB")</f>
        <v>VERKEHRPLUS PROGNOSE, PLANUNG UND STRATEGIEBERATUNG GMBG, GRAZ
ŽELJEZNIČKO PROJEKTNO DRUŠTVO, ZAGREB</v>
      </c>
      <c r="I953" s="1" t="s">
        <v>396</v>
      </c>
      <c r="J953" s="1" t="str">
        <f>SUBSTITUTE(SUBSTITUTE(SUBSTITUTE("473,079.08",".","-"),",","."),"-",",")</f>
        <v>473.079,08</v>
      </c>
      <c r="K953" s="2"/>
    </row>
    <row r="954" spans="1:11" ht="78.75" x14ac:dyDescent="0.25">
      <c r="A954" s="1" t="str">
        <f>"231/2013"</f>
        <v>231/2013</v>
      </c>
      <c r="B954" s="1" t="s">
        <v>14</v>
      </c>
      <c r="C954" s="1" t="s">
        <v>2232</v>
      </c>
      <c r="D954" s="1" t="str">
        <f>CONCATENATE("893-2012-EMV",CHAR(10),"2012/S 002-0084149 od 26.11.2012.")</f>
        <v>893-2012-EMV
2012/S 002-0084149 od 26.11.2012.</v>
      </c>
      <c r="E954" s="1" t="s">
        <v>15</v>
      </c>
      <c r="F954" s="1" t="str">
        <f>"444.519,00"</f>
        <v>444.519,00</v>
      </c>
      <c r="G954" s="1" t="str">
        <f>CONCATENATE("20.05.2013.",CHAR(10),"6 mjeseci")</f>
        <v>20.05.2013.
6 mjeseci</v>
      </c>
      <c r="H954" s="1" t="str">
        <f>CONCATENATE("VERKEHRPLUS PROGNOSE, PLANUNG UND STRATEGIEBERATUNG GMBG, GRAZ",CHAR(10),"ŽELJEZNIČKO PROJEKTNO DRUŠTVO, ZAGREB")</f>
        <v>VERKEHRPLUS PROGNOSE, PLANUNG UND STRATEGIEBERATUNG GMBG, GRAZ
ŽELJEZNIČKO PROJEKTNO DRUŠTVO, ZAGREB</v>
      </c>
      <c r="I954" s="1" t="s">
        <v>396</v>
      </c>
      <c r="J954" s="1" t="str">
        <f>SUBSTITUTE(SUBSTITUTE(SUBSTITUTE("446,877.98",".","-"),",","."),"-",",")</f>
        <v>446.877,98</v>
      </c>
      <c r="K954" s="2"/>
    </row>
    <row r="955" spans="1:11" ht="63" x14ac:dyDescent="0.25">
      <c r="A955" s="1" t="str">
        <f>"A-57/2013"</f>
        <v>A-57/2013</v>
      </c>
      <c r="B955" s="1" t="s">
        <v>11</v>
      </c>
      <c r="C955" s="1" t="s">
        <v>2233</v>
      </c>
      <c r="D955" s="1" t="str">
        <f>"1879-2012-EMV"</f>
        <v>1879-2012-EMV</v>
      </c>
      <c r="E955" s="2"/>
      <c r="F955" s="1" t="str">
        <f>"0,00"</f>
        <v>0,00</v>
      </c>
      <c r="G955" s="1" t="str">
        <f>CONCATENATE("20.05.2013.",CHAR(10),"21.05.2013.")</f>
        <v>20.05.2013.
21.05.2013.</v>
      </c>
      <c r="H955" s="1" t="str">
        <f>CONCATENATE("GEORAD D.O.O., ZAGREB",CHAR(10),"GEODIST D.O.O., ZAGREB")</f>
        <v>GEORAD D.O.O., ZAGREB
GEODIST D.O.O., ZAGREB</v>
      </c>
      <c r="I955" s="2"/>
      <c r="J955" s="1"/>
      <c r="K955" s="2"/>
    </row>
    <row r="956" spans="1:11" ht="47.25" x14ac:dyDescent="0.25">
      <c r="A956" s="1" t="str">
        <f>"232/2013"</f>
        <v>232/2013</v>
      </c>
      <c r="B956" s="1" t="s">
        <v>14</v>
      </c>
      <c r="C956" s="1" t="s">
        <v>2234</v>
      </c>
      <c r="D956" s="1" t="str">
        <f>CONCATENATE("177-2013-EMV",CHAR(10),"2013/S 002-0019694 od 05.03.2013.")</f>
        <v>177-2013-EMV
2013/S 002-0019694 od 05.03.2013.</v>
      </c>
      <c r="E956" s="1" t="s">
        <v>15</v>
      </c>
      <c r="F956" s="1" t="str">
        <f>"64.800,00"</f>
        <v>64.800,00</v>
      </c>
      <c r="G956" s="1" t="str">
        <f>CONCATENATE("20.05.2013.",CHAR(10),"60 dana")</f>
        <v>20.05.2013.
60 dana</v>
      </c>
      <c r="H956" s="1" t="str">
        <f>CONCATENATE("RIO TRGOVINA D.O.O., RIJEKA")</f>
        <v>RIO TRGOVINA D.O.O., RIJEKA</v>
      </c>
      <c r="I956" s="1" t="s">
        <v>243</v>
      </c>
      <c r="J956" s="1" t="str">
        <f>SUBSTITUTE(SUBSTITUTE(SUBSTITUTE("81,000.00",".","-"),",","."),"-",",")</f>
        <v>81.000,00</v>
      </c>
      <c r="K956" s="2"/>
    </row>
    <row r="957" spans="1:11" ht="47.25" x14ac:dyDescent="0.25">
      <c r="A957" s="1" t="str">
        <f>"233/2013"</f>
        <v>233/2013</v>
      </c>
      <c r="B957" s="1" t="s">
        <v>136</v>
      </c>
      <c r="C957" s="1" t="s">
        <v>2235</v>
      </c>
      <c r="D957" s="1" t="str">
        <f>CONCATENATE("390-2012-EVV",CHAR(10),"2012/S 002-0040379 od 13.07.2012.")</f>
        <v>390-2012-EVV
2012/S 002-0040379 od 13.07.2012.</v>
      </c>
      <c r="E957" s="1" t="s">
        <v>366</v>
      </c>
      <c r="F957" s="1" t="str">
        <f>"1.637.568,90"</f>
        <v>1.637.568,90</v>
      </c>
      <c r="G957" s="1" t="str">
        <f>CONCATENATE("20.05.2013.",CHAR(10),"2 godine")</f>
        <v>20.05.2013.
2 godine</v>
      </c>
      <c r="H957" s="1" t="str">
        <f>CONCATENATE("CROATIA OSIGURANJE D.D. FILIJALA ZAGREB, ZAGREB")</f>
        <v>CROATIA OSIGURANJE D.D. FILIJALA ZAGREB, ZAGREB</v>
      </c>
      <c r="I957" s="2"/>
      <c r="J957" s="1"/>
      <c r="K957" s="2"/>
    </row>
    <row r="958" spans="1:11" ht="47.25" x14ac:dyDescent="0.25">
      <c r="A958" s="1" t="str">
        <f>"234/2013"</f>
        <v>234/2013</v>
      </c>
      <c r="B958" s="1" t="s">
        <v>136</v>
      </c>
      <c r="C958" s="1" t="s">
        <v>2236</v>
      </c>
      <c r="D958" s="1" t="str">
        <f>CONCATENATE("390-2012-EVV",CHAR(10),"2012/S 002-0040379 od 13.07.2012.")</f>
        <v>390-2012-EVV
2012/S 002-0040379 od 13.07.2012.</v>
      </c>
      <c r="E958" s="1" t="s">
        <v>366</v>
      </c>
      <c r="F958" s="1" t="str">
        <f>"1.516.108,54"</f>
        <v>1.516.108,54</v>
      </c>
      <c r="G958" s="1" t="str">
        <f>CONCATENATE("20.05.2013.",CHAR(10),"2 godine")</f>
        <v>20.05.2013.
2 godine</v>
      </c>
      <c r="H958" s="1" t="str">
        <f>CONCATENATE("CROATIA OSIGURANJE D.D. FILIJALA ZAGREB, ZAGREB")</f>
        <v>CROATIA OSIGURANJE D.D. FILIJALA ZAGREB, ZAGREB</v>
      </c>
      <c r="I958" s="2"/>
      <c r="J958" s="1"/>
      <c r="K958" s="2"/>
    </row>
    <row r="959" spans="1:11" ht="47.25" x14ac:dyDescent="0.25">
      <c r="A959" s="1" t="str">
        <f>"235/2013"</f>
        <v>235/2013</v>
      </c>
      <c r="B959" s="1" t="s">
        <v>136</v>
      </c>
      <c r="C959" s="1" t="s">
        <v>2237</v>
      </c>
      <c r="D959" s="1" t="str">
        <f>CONCATENATE("390-2012-EVV",CHAR(10),"2012/S 002-0040379 od 13.07.2012.")</f>
        <v>390-2012-EVV
2012/S 002-0040379 od 13.07.2012.</v>
      </c>
      <c r="E959" s="1" t="s">
        <v>366</v>
      </c>
      <c r="F959" s="1" t="str">
        <f>"576.872,42"</f>
        <v>576.872,42</v>
      </c>
      <c r="G959" s="1" t="str">
        <f>CONCATENATE("20.05.2013.",CHAR(10),"2 godine")</f>
        <v>20.05.2013.
2 godine</v>
      </c>
      <c r="H959" s="1" t="str">
        <f>CONCATENATE("CROATIA OSIGURANJE D.D. FILIJALA ZAGREB, ZAGREB")</f>
        <v>CROATIA OSIGURANJE D.D. FILIJALA ZAGREB, ZAGREB</v>
      </c>
      <c r="I959" s="2"/>
      <c r="J959" s="1"/>
      <c r="K959" s="2"/>
    </row>
    <row r="960" spans="1:11" ht="47.25" x14ac:dyDescent="0.25">
      <c r="A960" s="1" t="str">
        <f>"236/2013"</f>
        <v>236/2013</v>
      </c>
      <c r="B960" s="1" t="s">
        <v>14</v>
      </c>
      <c r="C960" s="1" t="s">
        <v>2238</v>
      </c>
      <c r="D960" s="1" t="str">
        <f>CONCATENATE("1420-2013-EMV",CHAR(10),"2013/S 002-0020707 od 07.03.2013.")</f>
        <v>1420-2013-EMV
2013/S 002-0020707 od 07.03.2013.</v>
      </c>
      <c r="E960" s="1" t="s">
        <v>15</v>
      </c>
      <c r="F960" s="1" t="str">
        <f>"1.354.193,40"</f>
        <v>1.354.193,40</v>
      </c>
      <c r="G960" s="1" t="str">
        <f>CONCATENATE("21.05.2013.",CHAR(10),"180 dana")</f>
        <v>21.05.2013.
180 dana</v>
      </c>
      <c r="H960" s="1" t="str">
        <f>CONCATENATE("PUGAR D.O.O., VELIKA GORICA")</f>
        <v>PUGAR D.O.O., VELIKA GORICA</v>
      </c>
      <c r="I960" s="1" t="s">
        <v>397</v>
      </c>
      <c r="J960" s="1" t="str">
        <f>SUBSTITUTE(SUBSTITUTE(SUBSTITUTE("1,692,741.30",".","-"),",","."),"-",",")</f>
        <v>1.692.741,30</v>
      </c>
      <c r="K960" s="2"/>
    </row>
    <row r="961" spans="1:11" ht="63" x14ac:dyDescent="0.25">
      <c r="A961" s="1" t="str">
        <f>"237/2013"</f>
        <v>237/2013</v>
      </c>
      <c r="B961" s="1" t="s">
        <v>14</v>
      </c>
      <c r="C961" s="1" t="s">
        <v>672</v>
      </c>
      <c r="D961" s="1" t="str">
        <f>CONCATENATE("1419-2013-EMV",CHAR(10),"2012/S 002-0020351 od 06.03.2013.")</f>
        <v>1419-2013-EMV
2012/S 002-0020351 od 06.03.2013.</v>
      </c>
      <c r="E961" s="1" t="s">
        <v>15</v>
      </c>
      <c r="F961" s="1" t="str">
        <f>"1.354.193,40"</f>
        <v>1.354.193,40</v>
      </c>
      <c r="G961" s="1" t="str">
        <f>CONCATENATE("21.05.2013.",CHAR(10),"180 dana")</f>
        <v>21.05.2013.
180 dana</v>
      </c>
      <c r="H961" s="1" t="str">
        <f>CONCATENATE("PUGAR D.O.O., VELIKA GORICA")</f>
        <v>PUGAR D.O.O., VELIKA GORICA</v>
      </c>
      <c r="I961" s="2"/>
      <c r="J961" s="1"/>
      <c r="K961" s="2"/>
    </row>
    <row r="962" spans="1:11" ht="63" x14ac:dyDescent="0.25">
      <c r="A962" s="1" t="str">
        <f>"238/2013"</f>
        <v>238/2013</v>
      </c>
      <c r="B962" s="1" t="s">
        <v>14</v>
      </c>
      <c r="C962" s="1" t="s">
        <v>2239</v>
      </c>
      <c r="D962" s="1" t="str">
        <f>CONCATENATE("1418-2013-EMV",CHAR(10),"2013/S 002-0020734 od 07.03.2013.")</f>
        <v>1418-2013-EMV
2013/S 002-0020734 od 07.03.2013.</v>
      </c>
      <c r="E962" s="1" t="s">
        <v>15</v>
      </c>
      <c r="F962" s="1" t="str">
        <f>"1.311.598,35"</f>
        <v>1.311.598,35</v>
      </c>
      <c r="G962" s="1" t="str">
        <f>CONCATENATE("21.05.2013.",CHAR(10),"180 dana")</f>
        <v>21.05.2013.
180 dana</v>
      </c>
      <c r="H962" s="1" t="str">
        <f>CONCATENATE("M. SOLDO D.O.O., ZAGREB")</f>
        <v>M. SOLDO D.O.O., ZAGREB</v>
      </c>
      <c r="I962" s="1" t="s">
        <v>273</v>
      </c>
      <c r="J962" s="1" t="str">
        <f>SUBSTITUTE(SUBSTITUTE(SUBSTITUTE("1,639,033.48",".","-"),",","."),"-",",")</f>
        <v>1.639.033,48</v>
      </c>
      <c r="K962" s="2"/>
    </row>
    <row r="963" spans="1:11" ht="47.25" x14ac:dyDescent="0.25">
      <c r="A963" s="1" t="str">
        <f>"239/2013"</f>
        <v>239/2013</v>
      </c>
      <c r="B963" s="1" t="s">
        <v>14</v>
      </c>
      <c r="C963" s="1" t="s">
        <v>2240</v>
      </c>
      <c r="D963" s="1" t="str">
        <f>CONCATENATE("1370-2013-EMV",CHAR(10),"2013/S 015-0042286 od 09.05.2013.")</f>
        <v>1370-2013-EMV
2013/S 015-0042286 od 09.05.2013.</v>
      </c>
      <c r="E963" s="1" t="s">
        <v>12</v>
      </c>
      <c r="F963" s="1" t="str">
        <f>"198.642,13"</f>
        <v>198.642,13</v>
      </c>
      <c r="G963" s="1" t="str">
        <f>CONCATENATE("21.05.2013.",CHAR(10),"20 dana")</f>
        <v>21.05.2013.
20 dana</v>
      </c>
      <c r="H963" s="1" t="str">
        <f>CONCATENATE("M. SOLDO D.O.O., ZAGREB",CHAR(10),"GEOGIS D.O.O., ZAGREB")</f>
        <v>M. SOLDO D.O.O., ZAGREB
GEOGIS D.O.O., ZAGREB</v>
      </c>
      <c r="I963" s="1" t="s">
        <v>398</v>
      </c>
      <c r="J963" s="1" t="str">
        <f>SUBSTITUTE(SUBSTITUTE(SUBSTITUTE("248,302.66",".","-"),",","."),"-",",")</f>
        <v>248.302,66</v>
      </c>
      <c r="K963" s="2"/>
    </row>
    <row r="964" spans="1:11" ht="63" x14ac:dyDescent="0.25">
      <c r="A964" s="1" t="str">
        <f>"240/2013"</f>
        <v>240/2013</v>
      </c>
      <c r="B964" s="1" t="s">
        <v>14</v>
      </c>
      <c r="C964" s="1" t="s">
        <v>1629</v>
      </c>
      <c r="D964" s="1" t="str">
        <f>CONCATENATE("1302-2013-EMV",CHAR(10),"2013/S 002-0019242 od 04.03.2013.")</f>
        <v>1302-2013-EMV
2013/S 002-0019242 od 04.03.2013.</v>
      </c>
      <c r="E964" s="1" t="s">
        <v>15</v>
      </c>
      <c r="F964" s="1" t="str">
        <f>"6.799.953,10"</f>
        <v>6.799.953,10</v>
      </c>
      <c r="G964" s="1" t="str">
        <f>CONCATENATE("21.05.2013.",CHAR(10),"1 godina")</f>
        <v>21.05.2013.
1 godina</v>
      </c>
      <c r="H964" s="1" t="str">
        <f>CONCATENATE("CESTODOM D.O.O., ZAGREB",CHAR(10),"CRTORAD D.O.O., VARAŽDIN")</f>
        <v>CESTODOM D.O.O., ZAGREB
CRTORAD D.O.O., VARAŽDIN</v>
      </c>
      <c r="I964" s="1" t="s">
        <v>351</v>
      </c>
      <c r="J964" s="1" t="str">
        <f>SUBSTITUTE(SUBSTITUTE(SUBSTITUTE("8,499,941.38",".","-"),",","."),"-",",")</f>
        <v>8.499.941,38</v>
      </c>
      <c r="K964" s="2"/>
    </row>
    <row r="965" spans="1:11" ht="94.5" x14ac:dyDescent="0.25">
      <c r="A965" s="1" t="str">
        <f>"241/2013"</f>
        <v>241/2013</v>
      </c>
      <c r="B965" s="1" t="s">
        <v>14</v>
      </c>
      <c r="C965" s="1" t="s">
        <v>2241</v>
      </c>
      <c r="D965" s="1" t="str">
        <f>CONCATENATE("1678-2013-EMV",CHAR(10),"2013/S 015-0042258 od 09.05.2013.")</f>
        <v>1678-2013-EMV
2013/S 015-0042258 od 09.05.2013.</v>
      </c>
      <c r="E965" s="1" t="s">
        <v>12</v>
      </c>
      <c r="F965" s="1" t="str">
        <f>"480.000,00"</f>
        <v>480.000,00</v>
      </c>
      <c r="G965" s="1" t="str">
        <f>CONCATENATE("21.05.2013.",CHAR(10),"8 mjeseci")</f>
        <v>21.05.2013.
8 mjeseci</v>
      </c>
      <c r="H965" s="1" t="str">
        <f>CONCATENATE("INŽENJERSKI PROJEKTNI ZAVOD D.D., ZAGREB",CHAR(10),"FANOS D.O.O.,",CHAR(10),"DALEKOVOD-PROJEKT D.O.O., ZAGREB",CHAR(10),"MAŠINOPROJEKT D.O.O., ZAGREB")</f>
        <v>INŽENJERSKI PROJEKTNI ZAVOD D.D., ZAGREB
FANOS D.O.O.,
DALEKOVOD-PROJEKT D.O.O., ZAGREB
MAŠINOPROJEKT D.O.O., ZAGREB</v>
      </c>
      <c r="I965" s="2"/>
      <c r="J965" s="1"/>
      <c r="K965" s="2"/>
    </row>
    <row r="966" spans="1:11" ht="47.25" x14ac:dyDescent="0.25">
      <c r="A966" s="1" t="str">
        <f>"242/2013"</f>
        <v>242/2013</v>
      </c>
      <c r="B966" s="1" t="s">
        <v>14</v>
      </c>
      <c r="C966" s="1" t="s">
        <v>2242</v>
      </c>
      <c r="D966" s="1" t="str">
        <f>CONCATENATE("554-2013-EVV",CHAR(10),"2013/S 002-0018365 od 28.02.2013.")</f>
        <v>554-2013-EVV
2013/S 002-0018365 od 28.02.2013.</v>
      </c>
      <c r="E966" s="1" t="s">
        <v>15</v>
      </c>
      <c r="F966" s="1" t="str">
        <f>"1.480.449,60"</f>
        <v>1.480.449,60</v>
      </c>
      <c r="G966" s="1" t="str">
        <f>CONCATENATE("21.05.2013.",CHAR(10),"tijekom 2013.")</f>
        <v>21.05.2013.
tijekom 2013.</v>
      </c>
      <c r="H966" s="1" t="str">
        <f>CONCATENATE("EKO-DERATIZACIJA D.O.O., ZAGREB",CHAR(10),"SANITACIJA D.D., ZAGREB")</f>
        <v>EKO-DERATIZACIJA D.O.O., ZAGREB
SANITACIJA D.D., ZAGREB</v>
      </c>
      <c r="I966" s="1" t="s">
        <v>203</v>
      </c>
      <c r="J966" s="1" t="str">
        <f>SUBSTITUTE(SUBSTITUTE(SUBSTITUTE("1,850,562.00",".","-"),",","."),"-",",")</f>
        <v>1.850.562,00</v>
      </c>
      <c r="K966" s="2"/>
    </row>
    <row r="967" spans="1:11" ht="63" x14ac:dyDescent="0.25">
      <c r="A967" s="1" t="str">
        <f>"243/2013"</f>
        <v>243/2013</v>
      </c>
      <c r="B967" s="1" t="s">
        <v>14</v>
      </c>
      <c r="C967" s="1" t="s">
        <v>2243</v>
      </c>
      <c r="D967" s="1" t="str">
        <f>CONCATENATE("1372-2013-EMV",CHAR(10),"2013/S 015-0042200 od 09.05.2013.")</f>
        <v>1372-2013-EMV
2013/S 015-0042200 od 09.05.2013.</v>
      </c>
      <c r="E967" s="1" t="s">
        <v>12</v>
      </c>
      <c r="F967" s="1" t="str">
        <f>"248.732,00"</f>
        <v>248.732,00</v>
      </c>
      <c r="G967" s="1" t="str">
        <f>CONCATENATE("23.05.2013.",CHAR(10),"20 dana")</f>
        <v>23.05.2013.
20 dana</v>
      </c>
      <c r="H967" s="1" t="str">
        <f>CONCATENATE("HVAR D.O.O., SAMOBOR",CHAR(10),"GRAĐEVINSKI LABORATORIJ D.O.O., ZAGREB",CHAR(10),"ATEST - KONTROLA D.O.O., ZAGREB")</f>
        <v>HVAR D.O.O., SAMOBOR
GRAĐEVINSKI LABORATORIJ D.O.O., ZAGREB
ATEST - KONTROLA D.O.O., ZAGREB</v>
      </c>
      <c r="I967" s="1" t="s">
        <v>399</v>
      </c>
      <c r="J967" s="1" t="str">
        <f>SUBSTITUTE(SUBSTITUTE(SUBSTITUTE("303,781.89",".","-"),",","."),"-",",")</f>
        <v>303.781,89</v>
      </c>
      <c r="K967" s="2"/>
    </row>
    <row r="968" spans="1:11" ht="47.25" x14ac:dyDescent="0.25">
      <c r="A968" s="1" t="str">
        <f>"A-58/2013"</f>
        <v>A-58/2013</v>
      </c>
      <c r="B968" s="1" t="s">
        <v>11</v>
      </c>
      <c r="C968" s="1" t="s">
        <v>2244</v>
      </c>
      <c r="D968" s="1" t="str">
        <f>"2971-2012-EMV"</f>
        <v>2971-2012-EMV</v>
      </c>
      <c r="E968" s="2"/>
      <c r="F968" s="1" t="str">
        <f>"0,00"</f>
        <v>0,00</v>
      </c>
      <c r="G968" s="1" t="str">
        <f>CONCATENATE("23.05.2013.",CHAR(10),"31.08.2013.")</f>
        <v>23.05.2013.
31.08.2013.</v>
      </c>
      <c r="H968" s="1" t="str">
        <f>CONCATENATE("MEŠIĆ COM D.O.O., ZAGREB")</f>
        <v>MEŠIĆ COM D.O.O., ZAGREB</v>
      </c>
      <c r="I968" s="2"/>
      <c r="J968" s="1"/>
      <c r="K968" s="2"/>
    </row>
    <row r="969" spans="1:11" ht="94.5" x14ac:dyDescent="0.25">
      <c r="A969" s="1" t="str">
        <f>"A-59/2013"</f>
        <v>A-59/2013</v>
      </c>
      <c r="B969" s="1" t="s">
        <v>11</v>
      </c>
      <c r="C969" s="1" t="s">
        <v>2245</v>
      </c>
      <c r="D969" s="1" t="str">
        <f>"1956-2012-EMV"</f>
        <v>1956-2012-EMV</v>
      </c>
      <c r="E969" s="2"/>
      <c r="F969" s="1" t="str">
        <f>"0,00"</f>
        <v>0,00</v>
      </c>
      <c r="G969" s="1" t="str">
        <f>CONCATENATE("23.05.2013.",CHAR(10),"31.08.2013.")</f>
        <v>23.05.2013.
31.08.2013.</v>
      </c>
      <c r="H969" s="1" t="str">
        <f>CONCATENATE("MEŠIĆ COM D.O.O., ZAGREB",CHAR(10),"VODOVOD-OSIJEK D.O.O., OSIJEK",CHAR(10),"MJERNIK LIMA D.O.O., ZAGREB",CHAR(10),"ALING D.O.O., ZAGREB",CHAR(10),"VELTEH D.O.O., ZAGREB",CHAR(10),"IS-GRIJANJE D.O.O., ZAGREB")</f>
        <v>MEŠIĆ COM D.O.O., ZAGREB
VODOVOD-OSIJEK D.O.O., OSIJEK
MJERNIK LIMA D.O.O., ZAGREB
ALING D.O.O., ZAGREB
VELTEH D.O.O., ZAGREB
IS-GRIJANJE D.O.O., ZAGREB</v>
      </c>
      <c r="I969" s="2"/>
      <c r="J969" s="1"/>
      <c r="K969" s="2"/>
    </row>
    <row r="970" spans="1:11" ht="78.75" x14ac:dyDescent="0.25">
      <c r="A970" s="1" t="str">
        <f>"244/2013"</f>
        <v>244/2013</v>
      </c>
      <c r="B970" s="1" t="s">
        <v>14</v>
      </c>
      <c r="C970" s="1" t="s">
        <v>2246</v>
      </c>
      <c r="D970" s="1" t="str">
        <f>CONCATENATE("1318-2013-EMV",CHAR(10),"2013/S-002-0024338 od 18.03.2013, ispravak 2013/S 014-0030482 od 03.04.2013.")</f>
        <v>1318-2013-EMV
2013/S-002-0024338 od 18.03.2013, ispravak 2013/S 014-0030482 od 03.04.2013.</v>
      </c>
      <c r="E970" s="1" t="s">
        <v>15</v>
      </c>
      <c r="F970" s="1" t="str">
        <f>"1.423.330,00"</f>
        <v>1.423.330,00</v>
      </c>
      <c r="G970" s="1" t="str">
        <f>CONCATENATE("24.05.2013.",CHAR(10),"4 mjeseca")</f>
        <v>24.05.2013.
4 mjeseca</v>
      </c>
      <c r="H970" s="1" t="str">
        <f>CONCATENATE("CAPITAL ING D.O.O., ZAGREB",CHAR(10),"MHM-PROJEKT D.O.O., ZAGREB",CHAR(10),"ELARH PROJEKT D.O.O., ZAGREB",CHAR(10),"FLAMIT D.O.O., SAMOBOR")</f>
        <v>CAPITAL ING D.O.O., ZAGREB
MHM-PROJEKT D.O.O., ZAGREB
ELARH PROJEKT D.O.O., ZAGREB
FLAMIT D.O.O., SAMOBOR</v>
      </c>
      <c r="I970" s="1" t="s">
        <v>363</v>
      </c>
      <c r="J970" s="1" t="str">
        <f>SUBSTITUTE(SUBSTITUTE(SUBSTITUTE("1,779,162.50",".","-"),",","."),"-",",")</f>
        <v>1.779.162,50</v>
      </c>
      <c r="K970" s="2"/>
    </row>
    <row r="971" spans="1:11" ht="47.25" x14ac:dyDescent="0.25">
      <c r="A971" s="1" t="str">
        <f>"245/2013"</f>
        <v>245/2013</v>
      </c>
      <c r="B971" s="1" t="s">
        <v>14</v>
      </c>
      <c r="C971" s="1" t="s">
        <v>2247</v>
      </c>
      <c r="D971" s="1" t="str">
        <f>CONCATENATE("777-2012-EMV",CHAR(10),"2012/S 002-0085723 od 29.11.2012.")</f>
        <v>777-2012-EMV
2012/S 002-0085723 od 29.11.2012.</v>
      </c>
      <c r="E971" s="1" t="s">
        <v>15</v>
      </c>
      <c r="F971" s="1" t="str">
        <f>"137.940,00"</f>
        <v>137.940,00</v>
      </c>
      <c r="G971" s="1" t="str">
        <f>CONCATENATE("27.05.2013.",CHAR(10),"4 mjeseca")</f>
        <v>27.05.2013.
4 mjeseca</v>
      </c>
      <c r="H971" s="1" t="str">
        <f>CONCATENATE("GEOPROJEKT D.O.O., ZAGREB")</f>
        <v>GEOPROJEKT D.O.O., ZAGREB</v>
      </c>
      <c r="I971" s="1" t="s">
        <v>400</v>
      </c>
      <c r="J971" s="1" t="str">
        <f>SUBSTITUTE(SUBSTITUTE(SUBSTITUTE("172,425.00",".","-"),",","."),"-",",")</f>
        <v>172.425,00</v>
      </c>
      <c r="K971" s="2"/>
    </row>
    <row r="972" spans="1:11" ht="47.25" x14ac:dyDescent="0.25">
      <c r="A972" s="1" t="str">
        <f>"246/2013"</f>
        <v>246/2013</v>
      </c>
      <c r="B972" s="1" t="s">
        <v>14</v>
      </c>
      <c r="C972" s="1" t="s">
        <v>1737</v>
      </c>
      <c r="D972" s="1" t="str">
        <f>CONCATENATE("1647-2013-EMV",CHAR(10),"2013/S 002-0018509 od 01.03.2013.")</f>
        <v>1647-2013-EMV
2013/S 002-0018509 od 01.03.2013.</v>
      </c>
      <c r="E972" s="1" t="s">
        <v>15</v>
      </c>
      <c r="F972" s="1" t="str">
        <f>"80.000,00"</f>
        <v>80.000,00</v>
      </c>
      <c r="G972" s="1" t="str">
        <f>CONCATENATE("28.05.2013.",CHAR(10),"12 mjeseci")</f>
        <v>28.05.2013.
12 mjeseci</v>
      </c>
      <c r="H972" s="1" t="str">
        <f>CONCATENATE("INSTITUT ZA MEDICINSKA ISTRAŽIVANJA I MEDICINU RADA, ZAGREB")</f>
        <v>INSTITUT ZA MEDICINSKA ISTRAŽIVANJA I MEDICINU RADA, ZAGREB</v>
      </c>
      <c r="I972" s="1" t="s">
        <v>401</v>
      </c>
      <c r="J972" s="1" t="str">
        <f>SUBSTITUTE(SUBSTITUTE(SUBSTITUTE("100,000.00",".","-"),",","."),"-",",")</f>
        <v>100.000,00</v>
      </c>
      <c r="K972" s="2"/>
    </row>
    <row r="973" spans="1:11" ht="47.25" x14ac:dyDescent="0.25">
      <c r="A973" s="1" t="str">
        <f>"247/2013"</f>
        <v>247/2013</v>
      </c>
      <c r="B973" s="1" t="s">
        <v>14</v>
      </c>
      <c r="C973" s="1" t="s">
        <v>2248</v>
      </c>
      <c r="D973" s="1" t="str">
        <f>CONCATENATE("1682-2013-EMV",CHAR(10),"2013/S 015-0044105 od 15.05.2013.")</f>
        <v>1682-2013-EMV
2013/S 015-0044105 od 15.05.2013.</v>
      </c>
      <c r="E973" s="1" t="s">
        <v>12</v>
      </c>
      <c r="F973" s="1" t="str">
        <f>"77.266,00"</f>
        <v>77.266,00</v>
      </c>
      <c r="G973" s="1" t="str">
        <f>CONCATENATE("28.05.2013.",CHAR(10),"30 dana")</f>
        <v>28.05.2013.
30 dana</v>
      </c>
      <c r="H973" s="1" t="str">
        <f>CONCATENATE("SPEKTAR GRADNJA D.O.O., ZAGREB")</f>
        <v>SPEKTAR GRADNJA D.O.O., ZAGREB</v>
      </c>
      <c r="I973" s="1" t="s">
        <v>258</v>
      </c>
      <c r="J973" s="1" t="str">
        <f>SUBSTITUTE(SUBSTITUTE(SUBSTITUTE("95,689.36",".","-"),",","."),"-",",")</f>
        <v>95.689,36</v>
      </c>
      <c r="K973" s="2"/>
    </row>
    <row r="974" spans="1:11" ht="63" x14ac:dyDescent="0.25">
      <c r="A974" s="1" t="str">
        <f>"249/2013"</f>
        <v>249/2013</v>
      </c>
      <c r="B974" s="1" t="s">
        <v>14</v>
      </c>
      <c r="C974" s="1" t="s">
        <v>2249</v>
      </c>
      <c r="D974" s="1" t="str">
        <f>CONCATENATE("1125-2013-EMV",CHAR(10),"2013/S 015-0042331 od 09.05.2013.")</f>
        <v>1125-2013-EMV
2013/S 015-0042331 od 09.05.2013.</v>
      </c>
      <c r="E974" s="1" t="s">
        <v>12</v>
      </c>
      <c r="F974" s="1" t="str">
        <f>"409.537,60"</f>
        <v>409.537,60</v>
      </c>
      <c r="G974" s="1" t="str">
        <f>CONCATENATE("28.05.2013.",CHAR(10),"6 mjeseci")</f>
        <v>28.05.2013.
6 mjeseci</v>
      </c>
      <c r="H974" s="1" t="str">
        <f>CONCATENATE("GRADNJAPROJEKT- ZAGREB D.O.O., ZAGREB",CHAR(10),"LJEVAONICA UMJETNINA ALU D.O.O., ZAGREB")</f>
        <v>GRADNJAPROJEKT- ZAGREB D.O.O., ZAGREB
LJEVAONICA UMJETNINA ALU D.O.O., ZAGREB</v>
      </c>
      <c r="I974" s="1" t="s">
        <v>82</v>
      </c>
      <c r="J974" s="1" t="str">
        <f>SUBSTITUTE(SUBSTITUTE(SUBSTITUTE("511,897.95",".","-"),",","."),"-",",")</f>
        <v>511.897,95</v>
      </c>
      <c r="K974" s="2"/>
    </row>
    <row r="975" spans="1:11" ht="47.25" x14ac:dyDescent="0.25">
      <c r="A975" s="1" t="str">
        <f>"250/2013"</f>
        <v>250/2013</v>
      </c>
      <c r="B975" s="1" t="s">
        <v>14</v>
      </c>
      <c r="C975" s="1" t="s">
        <v>2250</v>
      </c>
      <c r="D975" s="1" t="str">
        <f>CONCATENATE("1104-2013-EMV",CHAR(10),"2013/S 015-0045110 od 17.05.2013.")</f>
        <v>1104-2013-EMV
2013/S 015-0045110 od 17.05.2013.</v>
      </c>
      <c r="E975" s="1" t="s">
        <v>12</v>
      </c>
      <c r="F975" s="1" t="str">
        <f>"169.850,00"</f>
        <v>169.850,00</v>
      </c>
      <c r="G975" s="1" t="str">
        <f>CONCATENATE("31.05.2013.",CHAR(10),"1 mjesec")</f>
        <v>31.05.2013.
1 mjesec</v>
      </c>
      <c r="H975" s="1" t="str">
        <f>CONCATENATE("ARHITEKTONSKI FAKULTET SVEUČILIŠTA U ZAGREBU, ZAGREB")</f>
        <v>ARHITEKTONSKI FAKULTET SVEUČILIŠTA U ZAGREBU, ZAGREB</v>
      </c>
      <c r="I975" s="1" t="s">
        <v>399</v>
      </c>
      <c r="J975" s="1" t="str">
        <f>SUBSTITUTE(SUBSTITUTE(SUBSTITUTE("212,312.50",".","-"),",","."),"-",",")</f>
        <v>212.312,50</v>
      </c>
      <c r="K975" s="2"/>
    </row>
    <row r="976" spans="1:11" ht="63" x14ac:dyDescent="0.25">
      <c r="A976" s="1" t="str">
        <f>"A-60/2013"</f>
        <v>A-60/2013</v>
      </c>
      <c r="B976" s="1" t="s">
        <v>11</v>
      </c>
      <c r="C976" s="1" t="s">
        <v>2251</v>
      </c>
      <c r="D976" s="1" t="str">
        <f>"1931-2012-EMV"</f>
        <v>1931-2012-EMV</v>
      </c>
      <c r="E976" s="2"/>
      <c r="F976" s="1" t="str">
        <f>"0,00"</f>
        <v>0,00</v>
      </c>
      <c r="G976" s="1" t="str">
        <f>CONCATENATE("31.05.2013.",CHAR(10),"31.12.2013")</f>
        <v>31.05.2013.
31.12.2013</v>
      </c>
      <c r="H976" s="1" t="str">
        <f>CONCATENATE("CAPITAL ING D.O.O., ZAGREB",CHAR(10),"MHM-PROJEKT D.O.O., ZAGREB",CHAR(10),"ELARH PROJEKT D.O.O., ZAGREB")</f>
        <v>CAPITAL ING D.O.O., ZAGREB
MHM-PROJEKT D.O.O., ZAGREB
ELARH PROJEKT D.O.O., ZAGREB</v>
      </c>
      <c r="I976" s="2"/>
      <c r="J976" s="1"/>
      <c r="K976" s="2"/>
    </row>
    <row r="977" spans="1:11" ht="78.75" x14ac:dyDescent="0.25">
      <c r="A977" s="1" t="str">
        <f>"A-61/2013"</f>
        <v>A-61/2013</v>
      </c>
      <c r="B977" s="1" t="s">
        <v>11</v>
      </c>
      <c r="C977" s="1" t="s">
        <v>2252</v>
      </c>
      <c r="D977" s="1" t="str">
        <f>"1980-2012-EMV"</f>
        <v>1980-2012-EMV</v>
      </c>
      <c r="E977" s="2"/>
      <c r="F977" s="1" t="str">
        <f>"0,00"</f>
        <v>0,00</v>
      </c>
      <c r="G977" s="1" t="str">
        <f>CONCATENATE("31.05.2013.",CHAR(10),"31.12.2013.")</f>
        <v>31.05.2013.
31.12.2013.</v>
      </c>
      <c r="H977" s="1" t="str">
        <f>CONCATENATE("DALEKOVOD-PROJEKT D.O.O., ZAGREB")</f>
        <v>DALEKOVOD-PROJEKT D.O.O., ZAGREB</v>
      </c>
      <c r="I977" s="2"/>
      <c r="J977" s="1"/>
      <c r="K977" s="2"/>
    </row>
    <row r="978" spans="1:11" ht="47.25" x14ac:dyDescent="0.25">
      <c r="A978" s="1" t="str">
        <f>"251/2013"</f>
        <v>251/2013</v>
      </c>
      <c r="B978" s="1" t="s">
        <v>14</v>
      </c>
      <c r="C978" s="1" t="s">
        <v>2253</v>
      </c>
      <c r="D978" s="1" t="str">
        <f>CONCATENATE("389-2012-EMV",CHAR(10),"2013/S 015-0023140 od 13.03.2013.")</f>
        <v>389-2012-EMV
2013/S 015-0023140 od 13.03.2013.</v>
      </c>
      <c r="E978" s="1" t="s">
        <v>40</v>
      </c>
      <c r="F978" s="1" t="str">
        <f>"155.040,00"</f>
        <v>155.040,00</v>
      </c>
      <c r="G978" s="1" t="str">
        <f>CONCATENATE("31.05.2013.",CHAR(10),"12 mjeseci")</f>
        <v>31.05.2013.
12 mjeseci</v>
      </c>
      <c r="H978" s="1" t="str">
        <f>CONCATENATE("SOKOL MARIĆ D.O.O., ZAGREB")</f>
        <v>SOKOL MARIĆ D.O.O., ZAGREB</v>
      </c>
      <c r="I978" s="1" t="s">
        <v>288</v>
      </c>
      <c r="J978" s="1" t="str">
        <f>SUBSTITUTE(SUBSTITUTE(SUBSTITUTE("193,800.00",".","-"),",","."),"-",",")</f>
        <v>193.800,00</v>
      </c>
      <c r="K978" s="2"/>
    </row>
    <row r="979" spans="1:11" ht="47.25" x14ac:dyDescent="0.25">
      <c r="A979" s="1" t="str">
        <f>"252/2013"</f>
        <v>252/2013</v>
      </c>
      <c r="B979" s="1" t="s">
        <v>14</v>
      </c>
      <c r="C979" s="1" t="s">
        <v>2254</v>
      </c>
      <c r="D979" s="1" t="str">
        <f>CONCATENATE("389-2012-EMV",CHAR(10),"2013/S 015-0023140 od 13.03.2013.")</f>
        <v>389-2012-EMV
2013/S 015-0023140 od 13.03.2013.</v>
      </c>
      <c r="E979" s="1" t="s">
        <v>40</v>
      </c>
      <c r="F979" s="1" t="str">
        <f>"87.024,00"</f>
        <v>87.024,00</v>
      </c>
      <c r="G979" s="1" t="str">
        <f>CONCATENATE("31.05.2013.",CHAR(10),"12 mjeseci")</f>
        <v>31.05.2013.
12 mjeseci</v>
      </c>
      <c r="H979" s="1" t="str">
        <f>CONCATENATE("SOKOL MARIĆ D.O.O., ZAGREB")</f>
        <v>SOKOL MARIĆ D.O.O., ZAGREB</v>
      </c>
      <c r="I979" s="1" t="s">
        <v>288</v>
      </c>
      <c r="J979" s="1" t="str">
        <f>SUBSTITUTE(SUBSTITUTE(SUBSTITUTE("108,780.00",".","-"),",","."),"-",",")</f>
        <v>108.780,00</v>
      </c>
      <c r="K979" s="2"/>
    </row>
    <row r="980" spans="1:11" ht="47.25" x14ac:dyDescent="0.25">
      <c r="A980" s="1" t="str">
        <f>"253/2013"</f>
        <v>253/2013</v>
      </c>
      <c r="B980" s="1" t="s">
        <v>14</v>
      </c>
      <c r="C980" s="1" t="s">
        <v>2255</v>
      </c>
      <c r="D980" s="1" t="str">
        <f>CONCATENATE("389-2012-EMV",CHAR(10),"2013/S 015-0023140 od 13.03.2013.")</f>
        <v>389-2012-EMV
2013/S 015-0023140 od 13.03.2013.</v>
      </c>
      <c r="E980" s="1" t="s">
        <v>40</v>
      </c>
      <c r="F980" s="1" t="str">
        <f>"26.640,00"</f>
        <v>26.640,00</v>
      </c>
      <c r="G980" s="1" t="str">
        <f>CONCATENATE("31.05.2013.",CHAR(10),"12 mjeseci")</f>
        <v>31.05.2013.
12 mjeseci</v>
      </c>
      <c r="H980" s="1" t="str">
        <f>CONCATENATE("SOKOL MARIĆ D.O.O., ZAGREB")</f>
        <v>SOKOL MARIĆ D.O.O., ZAGREB</v>
      </c>
      <c r="I980" s="1" t="s">
        <v>288</v>
      </c>
      <c r="J980" s="1" t="str">
        <f>SUBSTITUTE(SUBSTITUTE(SUBSTITUTE("33,300.00",".","-"),",","."),"-",",")</f>
        <v>33.300,00</v>
      </c>
      <c r="K980" s="2"/>
    </row>
    <row r="981" spans="1:11" ht="94.5" x14ac:dyDescent="0.25">
      <c r="A981" s="1" t="str">
        <f>"A-62/2013"</f>
        <v>A-62/2013</v>
      </c>
      <c r="B981" s="1" t="s">
        <v>11</v>
      </c>
      <c r="C981" s="1" t="s">
        <v>2256</v>
      </c>
      <c r="D981" s="1" t="str">
        <f>"1843-2012-EMV"</f>
        <v>1843-2012-EMV</v>
      </c>
      <c r="E981" s="2"/>
      <c r="F981" s="1" t="str">
        <f>"0,00"</f>
        <v>0,00</v>
      </c>
      <c r="G981" s="1" t="str">
        <f>CONCATENATE("31.05.2013.",CHAR(10),"31.12.2013")</f>
        <v>31.05.2013.
31.12.2013</v>
      </c>
      <c r="H981" s="1" t="str">
        <f>CONCATENATE("DALEKOVOD-PROJEKT D.O.O., ZAGREB")</f>
        <v>DALEKOVOD-PROJEKT D.O.O., ZAGREB</v>
      </c>
      <c r="I981" s="2"/>
      <c r="J981" s="1"/>
      <c r="K981" s="2"/>
    </row>
    <row r="982" spans="1:11" ht="47.25" x14ac:dyDescent="0.25">
      <c r="A982" s="1" t="str">
        <f>"255/2013"</f>
        <v>255/2013</v>
      </c>
      <c r="B982" s="1" t="s">
        <v>14</v>
      </c>
      <c r="C982" s="1" t="s">
        <v>2257</v>
      </c>
      <c r="D982" s="1" t="str">
        <f>CONCATENATE("1273-2013-EMV",CHAR(10),"2013/S-002-0029083 od 28.03.2013.")</f>
        <v>1273-2013-EMV
2013/S-002-0029083 od 28.03.2013.</v>
      </c>
      <c r="E982" s="1" t="s">
        <v>15</v>
      </c>
      <c r="F982" s="1" t="str">
        <f>"1.499.800,00"</f>
        <v>1.499.800,00</v>
      </c>
      <c r="G982" s="1" t="str">
        <f>CONCATENATE("04.06.2013.",CHAR(10),"12 mjeseci")</f>
        <v>04.06.2013.
12 mjeseci</v>
      </c>
      <c r="H982" s="1" t="str">
        <f>CONCATENATE("PISMORAD D.D., ZAGREB")</f>
        <v>PISMORAD D.D., ZAGREB</v>
      </c>
      <c r="I982" s="1" t="s">
        <v>402</v>
      </c>
      <c r="J982" s="1" t="str">
        <f>SUBSTITUTE(SUBSTITUTE(SUBSTITUTE("1,747,531.25",".","-"),",","."),"-",",")</f>
        <v>1.747.531,25</v>
      </c>
      <c r="K982" s="2"/>
    </row>
    <row r="983" spans="1:11" ht="47.25" x14ac:dyDescent="0.25">
      <c r="A983" s="1" t="str">
        <f>"257/2013"</f>
        <v>257/2013</v>
      </c>
      <c r="B983" s="1" t="s">
        <v>136</v>
      </c>
      <c r="C983" s="1" t="s">
        <v>2258</v>
      </c>
      <c r="D983" s="1" t="str">
        <f>CONCATENATE("391-2012-EMV",CHAR(10),"2013/S 002-0016145 od 22.02.2013.")</f>
        <v>391-2012-EMV
2013/S 002-0016145 od 22.02.2013.</v>
      </c>
      <c r="E983" s="1" t="s">
        <v>366</v>
      </c>
      <c r="F983" s="1" t="str">
        <f>"271.034,40"</f>
        <v>271.034,40</v>
      </c>
      <c r="G983" s="1" t="str">
        <f>CONCATENATE("10.06.2013.",CHAR(10),"2 godine")</f>
        <v>10.06.2013.
2 godine</v>
      </c>
      <c r="H983" s="1" t="str">
        <f>CONCATENATE("SUNCE OSIGURANJE D.D., ZAGREB")</f>
        <v>SUNCE OSIGURANJE D.D., ZAGREB</v>
      </c>
      <c r="I983" s="2"/>
      <c r="J983" s="1"/>
      <c r="K983" s="2"/>
    </row>
    <row r="984" spans="1:11" ht="47.25" x14ac:dyDescent="0.25">
      <c r="A984" s="1" t="str">
        <f>"258/2013"</f>
        <v>258/2013</v>
      </c>
      <c r="B984" s="1" t="s">
        <v>14</v>
      </c>
      <c r="C984" s="1" t="s">
        <v>923</v>
      </c>
      <c r="D984" s="1" t="str">
        <f>CONCATENATE("1177-2013-EMV",CHAR(10),"2013/S 002-0020340 od 06.03.2013.")</f>
        <v>1177-2013-EMV
2013/S 002-0020340 od 06.03.2013.</v>
      </c>
      <c r="E984" s="1" t="s">
        <v>15</v>
      </c>
      <c r="F984" s="1" t="str">
        <f>"299.760,00"</f>
        <v>299.760,00</v>
      </c>
      <c r="G984" s="1" t="str">
        <f>CONCATENATE("10.06.2013.",CHAR(10),"tijekom 12 mjeseci")</f>
        <v>10.06.2013.
tijekom 12 mjeseci</v>
      </c>
      <c r="H984" s="1" t="str">
        <f>CONCATENATE("KRISTAL BAZENI FONTANE D.O.O., ZAGREB")</f>
        <v>KRISTAL BAZENI FONTANE D.O.O., ZAGREB</v>
      </c>
      <c r="I984" s="1" t="s">
        <v>181</v>
      </c>
      <c r="J984" s="1" t="str">
        <f>SUBSTITUTE(SUBSTITUTE(SUBSTITUTE("374,550.00",".","-"),",","."),"-",",")</f>
        <v>374.550,00</v>
      </c>
      <c r="K984" s="2"/>
    </row>
    <row r="985" spans="1:11" ht="47.25" x14ac:dyDescent="0.25">
      <c r="A985" s="1" t="str">
        <f>"259/2013"</f>
        <v>259/2013</v>
      </c>
      <c r="B985" s="1" t="s">
        <v>14</v>
      </c>
      <c r="C985" s="1" t="s">
        <v>2259</v>
      </c>
      <c r="D985" s="1" t="str">
        <f>CONCATENATE("556-2013-EMV",CHAR(10),"2013/S 002-0023837 od 15.03.2013.")</f>
        <v>556-2013-EMV
2013/S 002-0023837 od 15.03.2013.</v>
      </c>
      <c r="E985" s="1" t="s">
        <v>15</v>
      </c>
      <c r="F985" s="1" t="str">
        <f>"159.000,00"</f>
        <v>159.000,00</v>
      </c>
      <c r="G985" s="1" t="str">
        <f>CONCATENATE("10.06.2013.",CHAR(10),"od 16.09. do 10.12. 2013.")</f>
        <v>10.06.2013.
od 16.09. do 10.12. 2013.</v>
      </c>
      <c r="H985" s="1" t="str">
        <f>CONCATENATE("AUTOTRANS D.O.O., RIJEKA")</f>
        <v>AUTOTRANS D.O.O., RIJEKA</v>
      </c>
      <c r="I985" s="1" t="s">
        <v>403</v>
      </c>
      <c r="J985" s="1" t="str">
        <f>SUBSTITUTE(SUBSTITUTE(SUBSTITUTE("127,100.00",".","-"),",","."),"-",",")</f>
        <v>127.100,00</v>
      </c>
      <c r="K985" s="2"/>
    </row>
    <row r="986" spans="1:11" ht="47.25" x14ac:dyDescent="0.25">
      <c r="A986" s="1" t="str">
        <f>"260/2013"</f>
        <v>260/2013</v>
      </c>
      <c r="B986" s="1" t="s">
        <v>14</v>
      </c>
      <c r="C986" s="1" t="s">
        <v>2260</v>
      </c>
      <c r="D986" s="1" t="str">
        <f>CONCATENATE("2637-2012-EMV",CHAR(10),"2012/S 002-0078506 od 09.11.2012.")</f>
        <v>2637-2012-EMV
2012/S 002-0078506 od 09.11.2012.</v>
      </c>
      <c r="E986" s="1" t="s">
        <v>15</v>
      </c>
      <c r="F986" s="1" t="str">
        <f>"26.600,00"</f>
        <v>26.600,00</v>
      </c>
      <c r="G986" s="1" t="str">
        <f>CONCATENATE("10.06.2013.",CHAR(10),"od dana uvođenja u posao do predaje završnog izvješća")</f>
        <v>10.06.2013.
od dana uvođenja u posao do predaje završnog izvješća</v>
      </c>
      <c r="H986" s="1" t="str">
        <f>CONCATENATE("PGT ŠKUNCA D.O.O., ZAGREB-SUSEDGRAD")</f>
        <v>PGT ŠKUNCA D.O.O., ZAGREB-SUSEDGRAD</v>
      </c>
      <c r="I986" s="1" t="s">
        <v>367</v>
      </c>
      <c r="J986" s="1" t="str">
        <f>SUBSTITUTE(SUBSTITUTE(SUBSTITUTE("33,250.00",".","-"),",","."),"-",",")</f>
        <v>33.250,00</v>
      </c>
      <c r="K986" s="2"/>
    </row>
    <row r="987" spans="1:11" ht="47.25" x14ac:dyDescent="0.25">
      <c r="A987" s="1" t="str">
        <f>"261/2013"</f>
        <v>261/2013</v>
      </c>
      <c r="B987" s="1" t="s">
        <v>14</v>
      </c>
      <c r="C987" s="1" t="s">
        <v>2261</v>
      </c>
      <c r="D987" s="1" t="str">
        <f>CONCATENATE("2638-2012-EMV",CHAR(10),"2012/S 002-0078454 od 09.11.2012.")</f>
        <v>2638-2012-EMV
2012/S 002-0078454 od 09.11.2012.</v>
      </c>
      <c r="E987" s="1" t="s">
        <v>15</v>
      </c>
      <c r="F987" s="1" t="str">
        <f>"26.600,00"</f>
        <v>26.600,00</v>
      </c>
      <c r="G987" s="1" t="str">
        <f>CONCATENATE("10.06.2013.",CHAR(10),"od dana uvođenja u posao do predaje završnog izvješća")</f>
        <v>10.06.2013.
od dana uvođenja u posao do predaje završnog izvješća</v>
      </c>
      <c r="H987" s="1" t="str">
        <f>CONCATENATE("PGT ŠKUNCA D.O.O., ZAGREB-SUSEDGRAD")</f>
        <v>PGT ŠKUNCA D.O.O., ZAGREB-SUSEDGRAD</v>
      </c>
      <c r="I987" s="1" t="s">
        <v>367</v>
      </c>
      <c r="J987" s="1" t="str">
        <f>SUBSTITUTE(SUBSTITUTE(SUBSTITUTE("33,250.00",".","-"),",","."),"-",",")</f>
        <v>33.250,00</v>
      </c>
      <c r="K987" s="2"/>
    </row>
    <row r="988" spans="1:11" ht="141.75" x14ac:dyDescent="0.25">
      <c r="A988" s="1" t="str">
        <f>"262/2013"</f>
        <v>262/2013</v>
      </c>
      <c r="B988" s="1" t="s">
        <v>14</v>
      </c>
      <c r="C988" s="1" t="s">
        <v>2262</v>
      </c>
      <c r="D988" s="1" t="str">
        <f>CONCATENATE("721-2012-EMV",CHAR(10),"2013/S 002-0005539 od 24.01.2013, isp. 2013/S 014-0012181 od 12.02.2013, isp. 2013/S 014-0015235 od 02.02.2013, isp. 2013/S 014-0018773 od 01.03.2013.")</f>
        <v>721-2012-EMV
2013/S 002-0005539 od 24.01.2013, isp. 2013/S 014-0012181 od 12.02.2013, isp. 2013/S 014-0015235 od 02.02.2013, isp. 2013/S 014-0018773 od 01.03.2013.</v>
      </c>
      <c r="E988" s="1" t="s">
        <v>15</v>
      </c>
      <c r="F988" s="1" t="str">
        <f>"18.660.089,42"</f>
        <v>18.660.089,42</v>
      </c>
      <c r="G988" s="1" t="str">
        <f>CONCATENATE("11.06.2013.",CHAR(10),"12 mjeseci")</f>
        <v>11.06.2013.
12 mjeseci</v>
      </c>
      <c r="H988" s="1" t="str">
        <f>CONCATENATE("HM-PATRIA D.O.O., ZAGREB",CHAR(10),"HIDROELEKTRA NISKOGRADNJA D.D., ZAGREB",CHAR(10),"ADING 94 D.O.O., ZAGREB",CHAR(10),"FRIGO PLUS D.O.O., ZAGREB-DUBRAVA")</f>
        <v>HM-PATRIA D.O.O., ZAGREB
HIDROELEKTRA NISKOGRADNJA D.D., ZAGREB
ADING 94 D.O.O., ZAGREB
FRIGO PLUS D.O.O., ZAGREB-DUBRAVA</v>
      </c>
      <c r="I988" s="2"/>
      <c r="J988" s="1"/>
      <c r="K988" s="2"/>
    </row>
    <row r="989" spans="1:11" ht="63" x14ac:dyDescent="0.25">
      <c r="A989" s="1" t="str">
        <f>"A-63/2013"</f>
        <v>A-63/2013</v>
      </c>
      <c r="B989" s="1" t="s">
        <v>11</v>
      </c>
      <c r="C989" s="1" t="s">
        <v>2263</v>
      </c>
      <c r="D989" s="1" t="str">
        <f>"1879-2012-EMV"</f>
        <v>1879-2012-EMV</v>
      </c>
      <c r="E989" s="2"/>
      <c r="F989" s="1" t="str">
        <f>"0,00"</f>
        <v>0,00</v>
      </c>
      <c r="G989" s="1" t="str">
        <f>CONCATENATE("11.06.2013.",CHAR(10),"do 21.06. 2013.")</f>
        <v>11.06.2013.
do 21.06. 2013.</v>
      </c>
      <c r="H989" s="1" t="str">
        <f>CONCATENATE("GEORAD D.O.O., ZAGREB",CHAR(10),"GEODIST D.O.O., ZAGREB")</f>
        <v>GEORAD D.O.O., ZAGREB
GEODIST D.O.O., ZAGREB</v>
      </c>
      <c r="I989" s="2"/>
      <c r="J989" s="1"/>
      <c r="K989" s="2"/>
    </row>
    <row r="990" spans="1:11" ht="47.25" x14ac:dyDescent="0.25">
      <c r="A990" s="1" t="str">
        <f>"263/2013"</f>
        <v>263/2013</v>
      </c>
      <c r="B990" s="1" t="s">
        <v>14</v>
      </c>
      <c r="C990" s="1" t="s">
        <v>2264</v>
      </c>
      <c r="D990" s="1" t="str">
        <f>CONCATENATE("344-2013-EMV",CHAR(10),"2013/S 002-0015857 od 21.02.2013.")</f>
        <v>344-2013-EMV
2013/S 002-0015857 od 21.02.2013.</v>
      </c>
      <c r="E990" s="1" t="s">
        <v>15</v>
      </c>
      <c r="F990" s="1" t="str">
        <f>"634.068,60"</f>
        <v>634.068,60</v>
      </c>
      <c r="G990" s="1" t="str">
        <f>CONCATENATE("11.06.2013.",CHAR(10),"tijekom 1 godine")</f>
        <v>11.06.2013.
tijekom 1 godine</v>
      </c>
      <c r="H990" s="1" t="str">
        <f>CONCATENATE("SOBOSLIKARSKI I LIČILAČKI OBRT VL. PAVE VUKELIĆ, DUGO SELO")</f>
        <v>SOBOSLIKARSKI I LIČILAČKI OBRT VL. PAVE VUKELIĆ, DUGO SELO</v>
      </c>
      <c r="I990" s="1" t="s">
        <v>276</v>
      </c>
      <c r="J990" s="1" t="str">
        <f>SUBSTITUTE(SUBSTITUTE(SUBSTITUTE("792,585.75",".","-"),",","."),"-",",")</f>
        <v>792.585,75</v>
      </c>
      <c r="K990" s="2"/>
    </row>
    <row r="991" spans="1:11" ht="47.25" x14ac:dyDescent="0.25">
      <c r="A991" s="1" t="str">
        <f>"264/2013"</f>
        <v>264/2013</v>
      </c>
      <c r="B991" s="1" t="s">
        <v>14</v>
      </c>
      <c r="C991" s="1" t="s">
        <v>2265</v>
      </c>
      <c r="D991" s="1" t="str">
        <f>CONCATENATE("204-2013-EMV",CHAR(10),"2013/S 002-0029292 od 29.03.2013.")</f>
        <v>204-2013-EMV
2013/S 002-0029292 od 29.03.2013.</v>
      </c>
      <c r="E991" s="1" t="s">
        <v>15</v>
      </c>
      <c r="F991" s="1" t="str">
        <f>"66.377,00"</f>
        <v>66.377,00</v>
      </c>
      <c r="G991" s="1" t="str">
        <f>CONCATENATE("11.06.2013.",CHAR(10),"60 dana")</f>
        <v>11.06.2013.
60 dana</v>
      </c>
      <c r="H991" s="1" t="str">
        <f>CONCATENATE("MATO EL-D D.O.O., IVANIĆ-GRAD")</f>
        <v>MATO EL-D D.O.O., IVANIĆ-GRAD</v>
      </c>
      <c r="I991" s="1" t="s">
        <v>346</v>
      </c>
      <c r="J991" s="1" t="str">
        <f>SUBSTITUTE(SUBSTITUTE(SUBSTITUTE("78,301.25",".","-"),",","."),"-",",")</f>
        <v>78.301,25</v>
      </c>
      <c r="K991" s="2"/>
    </row>
    <row r="992" spans="1:11" ht="94.5" x14ac:dyDescent="0.25">
      <c r="A992" s="1" t="str">
        <f>"R-7/2013"</f>
        <v>R-7/2013</v>
      </c>
      <c r="B992" s="1" t="s">
        <v>56</v>
      </c>
      <c r="C992" s="1" t="s">
        <v>2266</v>
      </c>
      <c r="D992" s="1" t="str">
        <f>CONCATENATE("EV-970-009/2011",CHAR(10),"N-02-V-151651-291211")</f>
        <v>EV-970-009/2011
N-02-V-151651-291211</v>
      </c>
      <c r="E992" s="2"/>
      <c r="F992" s="1" t="str">
        <f>"0,00"</f>
        <v>0,00</v>
      </c>
      <c r="G992" s="1" t="str">
        <f>CONCATENATE("13.06.2013.",CHAR(10),"4 godine")</f>
        <v>13.06.2013.
4 godine</v>
      </c>
      <c r="H992" s="1" t="str">
        <f>CONCATENATE("DILJEXPORT D.O.O., ZAGREB",CHAR(10),"ZVIJEZDA D.D., ZAGREB",CHAR(10),"ŽITNJAK D.D., ZAGREB")</f>
        <v>DILJEXPORT D.O.O., ZAGREB
ZVIJEZDA D.D., ZAGREB
ŽITNJAK D.D., ZAGREB</v>
      </c>
      <c r="I992" s="2"/>
      <c r="J992" s="1"/>
      <c r="K992" s="2"/>
    </row>
    <row r="993" spans="1:11" ht="31.5" x14ac:dyDescent="0.25">
      <c r="A993" s="1" t="str">
        <f>"R-8/2013"</f>
        <v>R-8/2013</v>
      </c>
      <c r="B993" s="1" t="s">
        <v>56</v>
      </c>
      <c r="C993" s="1" t="s">
        <v>2128</v>
      </c>
      <c r="D993" s="1" t="str">
        <f>CONCATENATE("2469-2012-EMV",CHAR(10),"2012/S 002-0084231")</f>
        <v>2469-2012-EMV
2012/S 002-0084231</v>
      </c>
      <c r="E993" s="2"/>
      <c r="F993" s="1" t="str">
        <f>"0,00"</f>
        <v>0,00</v>
      </c>
      <c r="G993" s="1" t="str">
        <f>"14.06.2013."</f>
        <v>14.06.2013.</v>
      </c>
      <c r="H993" s="1" t="str">
        <f>CONCATENATE("GRADIR D.O.O., ZAGREB")</f>
        <v>GRADIR D.O.O., ZAGREB</v>
      </c>
      <c r="I993" s="2"/>
      <c r="J993" s="1"/>
      <c r="K993" s="2"/>
    </row>
    <row r="994" spans="1:11" ht="78.75" x14ac:dyDescent="0.25">
      <c r="A994" s="1" t="str">
        <f>"265/2013"</f>
        <v>265/2013</v>
      </c>
      <c r="B994" s="1" t="s">
        <v>14</v>
      </c>
      <c r="C994" s="1" t="s">
        <v>2267</v>
      </c>
      <c r="D994" s="1" t="str">
        <f>CONCATENATE("1627-2013-EMV",CHAR(10),"2013/S 002-0020141 od 06.03.2013.,ispravak 2013/S 014-0026926 od 22.03.2013.")</f>
        <v>1627-2013-EMV
2013/S 002-0020141 od 06.03.2013.,ispravak 2013/S 014-0026926 od 22.03.2013.</v>
      </c>
      <c r="E994" s="1" t="s">
        <v>15</v>
      </c>
      <c r="F994" s="1" t="str">
        <f>"120.000,00"</f>
        <v>120.000,00</v>
      </c>
      <c r="G994" s="1" t="str">
        <f>CONCATENATE("14.06.2013.",CHAR(10),"120 dana")</f>
        <v>14.06.2013.
120 dana</v>
      </c>
      <c r="H994" s="1" t="str">
        <f>CONCATENATE("BRODARSKI INSTITUT D.O.O., ZAGREB-NOVI ZAGREB",CHAR(10),"FUNKCIONALNA CJELINA D.O.O., ZAGREB")</f>
        <v>BRODARSKI INSTITUT D.O.O., ZAGREB-NOVI ZAGREB
FUNKCIONALNA CJELINA D.O.O., ZAGREB</v>
      </c>
      <c r="I994" s="2"/>
      <c r="J994" s="1"/>
      <c r="K994" s="2"/>
    </row>
    <row r="995" spans="1:11" ht="47.25" x14ac:dyDescent="0.25">
      <c r="A995" s="1" t="str">
        <f>"266/2013"</f>
        <v>266/2013</v>
      </c>
      <c r="B995" s="1" t="s">
        <v>14</v>
      </c>
      <c r="C995" s="1" t="s">
        <v>2268</v>
      </c>
      <c r="D995" s="1" t="str">
        <f>CONCATENATE("1271-2013-EMV",CHAR(10),"2013/S 002-0032110 od 08.04.2013.")</f>
        <v>1271-2013-EMV
2013/S 002-0032110 od 08.04.2013.</v>
      </c>
      <c r="E995" s="1" t="s">
        <v>15</v>
      </c>
      <c r="F995" s="1" t="str">
        <f>"743.200,00"</f>
        <v>743.200,00</v>
      </c>
      <c r="G995" s="1" t="str">
        <f>CONCATENATE("14.06.2013.",CHAR(10),"3 mjeseca")</f>
        <v>14.06.2013.
3 mjeseca</v>
      </c>
      <c r="H995" s="1" t="str">
        <f>CONCATENATE("ZAGREBAČKI HOLDING D.O.O., PODRUŽNICA ZRINJEVAC, ZAGREB")</f>
        <v>ZAGREBAČKI HOLDING D.O.O., PODRUŽNICA ZRINJEVAC, ZAGREB</v>
      </c>
      <c r="I995" s="2"/>
      <c r="J995" s="1"/>
      <c r="K995" s="2"/>
    </row>
    <row r="996" spans="1:11" ht="31.5" x14ac:dyDescent="0.25">
      <c r="A996" s="1" t="str">
        <f>"A-64/2013"</f>
        <v>A-64/2013</v>
      </c>
      <c r="B996" s="1" t="s">
        <v>11</v>
      </c>
      <c r="C996" s="1" t="s">
        <v>2269</v>
      </c>
      <c r="D996" s="1" t="str">
        <f>"432-2012-EMV"</f>
        <v>432-2012-EMV</v>
      </c>
      <c r="E996" s="2"/>
      <c r="F996" s="1" t="str">
        <f>"0,00"</f>
        <v>0,00</v>
      </c>
      <c r="G996" s="1" t="str">
        <f>CONCATENATE("17.06.2013.",CHAR(10),"93 dana")</f>
        <v>17.06.2013.
93 dana</v>
      </c>
      <c r="H996" s="1" t="str">
        <f>CONCATENATE("HEDOM D.O.O., ZAGREB",CHAR(10),"KANAL INSPEKT D.O.O., ZAGREB")</f>
        <v>HEDOM D.O.O., ZAGREB
KANAL INSPEKT D.O.O., ZAGREB</v>
      </c>
      <c r="I996" s="2"/>
      <c r="J996" s="1"/>
      <c r="K996" s="2"/>
    </row>
    <row r="997" spans="1:11" ht="47.25" x14ac:dyDescent="0.25">
      <c r="A997" s="1" t="str">
        <f>"267/2013"</f>
        <v>267/2013</v>
      </c>
      <c r="B997" s="1" t="s">
        <v>14</v>
      </c>
      <c r="C997" s="1" t="s">
        <v>2270</v>
      </c>
      <c r="D997" s="1" t="str">
        <f>CONCATENATE("1293-2013-EMV",CHAR(10),"2013/S 002-0024966 od 19.03.2013.")</f>
        <v>1293-2013-EMV
2013/S 002-0024966 od 19.03.2013.</v>
      </c>
      <c r="E997" s="1" t="s">
        <v>15</v>
      </c>
      <c r="F997" s="1" t="str">
        <f>"111.843,72"</f>
        <v>111.843,72</v>
      </c>
      <c r="G997" s="1" t="str">
        <f>CONCATENATE("17.06.2013.",CHAR(10),"60 dana")</f>
        <v>17.06.2013.
60 dana</v>
      </c>
      <c r="H997" s="1" t="str">
        <f>CONCATENATE("SEMAFOR D.O.O., ZAGREB",CHAR(10),"MONTEL D.O.O., ZAGREB",CHAR(10),"MGV D.O.O., ZAGREB")</f>
        <v>SEMAFOR D.O.O., ZAGREB
MONTEL D.O.O., ZAGREB
MGV D.O.O., ZAGREB</v>
      </c>
      <c r="I997" s="1" t="s">
        <v>404</v>
      </c>
      <c r="J997" s="1" t="str">
        <f>SUBSTITUTE(SUBSTITUTE(SUBSTITUTE("139,479.60",".","-"),",","."),"-",",")</f>
        <v>139.479,60</v>
      </c>
      <c r="K997" s="2"/>
    </row>
    <row r="998" spans="1:11" ht="47.25" x14ac:dyDescent="0.25">
      <c r="A998" s="1" t="str">
        <f>"268/2013"</f>
        <v>268/2013</v>
      </c>
      <c r="B998" s="1" t="s">
        <v>14</v>
      </c>
      <c r="C998" s="1" t="s">
        <v>2271</v>
      </c>
      <c r="D998" s="1" t="str">
        <f>CONCATENATE("414-2013-EMV",CHAR(10),"2013/S 002-0029916 od 29.03.2013.")</f>
        <v>414-2013-EMV
2013/S 002-0029916 od 29.03.2013.</v>
      </c>
      <c r="E998" s="1" t="s">
        <v>15</v>
      </c>
      <c r="F998" s="1" t="str">
        <f>"245.763,00"</f>
        <v>245.763,00</v>
      </c>
      <c r="G998" s="1" t="str">
        <f>CONCATENATE("18.06.2013.",CHAR(10),"1 godina")</f>
        <v>18.06.2013.
1 godina</v>
      </c>
      <c r="H998" s="1" t="str">
        <f>CONCATENATE("PAMAJO D.O.O., ZAGREB")</f>
        <v>PAMAJO D.O.O., ZAGREB</v>
      </c>
      <c r="I998" s="1" t="s">
        <v>25</v>
      </c>
      <c r="J998" s="1" t="str">
        <f>SUBSTITUTE(SUBSTITUTE(SUBSTITUTE("282,420.00",".","-"),",","."),"-",",")</f>
        <v>282.420,00</v>
      </c>
      <c r="K998" s="2"/>
    </row>
    <row r="999" spans="1:11" ht="110.25" x14ac:dyDescent="0.25">
      <c r="A999" s="1" t="str">
        <f>"R-9/2013"</f>
        <v>R-9/2013</v>
      </c>
      <c r="B999" s="1" t="s">
        <v>56</v>
      </c>
      <c r="C999" s="1" t="s">
        <v>2272</v>
      </c>
      <c r="D999" s="1" t="str">
        <f>"EV-970-009/2011"</f>
        <v>EV-970-009/2011</v>
      </c>
      <c r="E999" s="2"/>
      <c r="F999" s="1" t="str">
        <f>"0,00"</f>
        <v>0,00</v>
      </c>
      <c r="G999" s="1" t="str">
        <f>"18.06.2013."</f>
        <v>18.06.2013.</v>
      </c>
      <c r="H999" s="1" t="str">
        <f>CONCATENATE("DILJEXPORT D.O.O., ZAGREB",CHAR(10),"ZVIJEZDA D.D., ZAGREB",CHAR(10),"AGRO-VIR D.O.O., ZAGREB")</f>
        <v>DILJEXPORT D.O.O., ZAGREB
ZVIJEZDA D.D., ZAGREB
AGRO-VIR D.O.O., ZAGREB</v>
      </c>
      <c r="I999" s="2"/>
      <c r="J999" s="1"/>
      <c r="K999" s="2"/>
    </row>
    <row r="1000" spans="1:11" ht="47.25" x14ac:dyDescent="0.25">
      <c r="A1000" s="1" t="str">
        <f>"269/2013"</f>
        <v>269/2013</v>
      </c>
      <c r="B1000" s="1" t="s">
        <v>14</v>
      </c>
      <c r="C1000" s="1" t="s">
        <v>2273</v>
      </c>
      <c r="D1000" s="1" t="str">
        <f>CONCATENATE("1416-2013-EMV",CHAR(10),"2013/S 015-0050256 od 01.06.2013.")</f>
        <v>1416-2013-EMV
2013/S 015-0050256 od 01.06.2013.</v>
      </c>
      <c r="E1000" s="1" t="s">
        <v>12</v>
      </c>
      <c r="F1000" s="1" t="str">
        <f>"229.978,66"</f>
        <v>229.978,66</v>
      </c>
      <c r="G1000" s="1" t="str">
        <f>CONCATENATE("19.06.2013.",CHAR(10),"20 dana")</f>
        <v>19.06.2013.
20 dana</v>
      </c>
      <c r="H1000" s="1" t="str">
        <f>CONCATENATE("M. SOLDO D.O.O., ZAGREB")</f>
        <v>M. SOLDO D.O.O., ZAGREB</v>
      </c>
      <c r="I1000" s="1" t="s">
        <v>405</v>
      </c>
      <c r="J1000" s="1" t="str">
        <f>SUBSTITUTE(SUBSTITUTE(SUBSTITUTE("70,655.00",".","-"),",","."),"-",",")</f>
        <v>70.655,00</v>
      </c>
      <c r="K1000" s="2"/>
    </row>
    <row r="1001" spans="1:11" ht="47.25" x14ac:dyDescent="0.25">
      <c r="A1001" s="1" t="str">
        <f>"271/2013"</f>
        <v>271/2013</v>
      </c>
      <c r="B1001" s="1" t="s">
        <v>14</v>
      </c>
      <c r="C1001" s="1" t="s">
        <v>1171</v>
      </c>
      <c r="D1001" s="1" t="str">
        <f>CONCATENATE("1260-2013-EMV",CHAR(10),"2013/S 002-0026293 od 21.03.2013.")</f>
        <v>1260-2013-EMV
2013/S 002-0026293 od 21.03.2013.</v>
      </c>
      <c r="E1001" s="1" t="s">
        <v>15</v>
      </c>
      <c r="F1001" s="1" t="str">
        <f>"786.830,00"</f>
        <v>786.830,00</v>
      </c>
      <c r="G1001" s="1" t="str">
        <f>CONCATENATE("20.06.2013.",CHAR(10),"60 dana")</f>
        <v>20.06.2013.
60 dana</v>
      </c>
      <c r="H1001" s="1" t="str">
        <f>CONCATENATE("M. SOLDO D.O.O., ZAGREB",CHAR(10),"GEOGIS D.O.O., ZAGREB",CHAR(10),"HEDOM D.O.O., ZAGREB")</f>
        <v>M. SOLDO D.O.O., ZAGREB
GEOGIS D.O.O., ZAGREB
HEDOM D.O.O., ZAGREB</v>
      </c>
      <c r="I1001" s="1" t="s">
        <v>385</v>
      </c>
      <c r="J1001" s="1" t="str">
        <f>SUBSTITUTE(SUBSTITUTE(SUBSTITUTE("983,490.36",".","-"),",","."),"-",",")</f>
        <v>983.490,36</v>
      </c>
      <c r="K1001" s="2"/>
    </row>
    <row r="1002" spans="1:11" ht="110.25" x14ac:dyDescent="0.25">
      <c r="A1002" s="1" t="str">
        <f>"272/2013"</f>
        <v>272/2013</v>
      </c>
      <c r="B1002" s="1" t="s">
        <v>14</v>
      </c>
      <c r="C1002" s="1" t="s">
        <v>2274</v>
      </c>
      <c r="D1002" s="1" t="str">
        <f>CONCATENATE("1316-2013-EMV",CHAR(10),"2013/S 002-0031114 od 04.04.2013.")</f>
        <v>1316-2013-EMV
2013/S 002-0031114 od 04.04.2013.</v>
      </c>
      <c r="E1002" s="1" t="s">
        <v>15</v>
      </c>
      <c r="F1002" s="1" t="str">
        <f>"448.500,00"</f>
        <v>448.500,00</v>
      </c>
      <c r="G1002" s="1" t="str">
        <f>CONCATENATE("24.06.2013.",CHAR(10),"15 dana")</f>
        <v>24.06.2013.
15 dana</v>
      </c>
      <c r="H1002" s="1" t="str">
        <f>CONCATENATE("INŽENJERSKI PROJEKTNI ZAVOD D.D., ZAGREB",CHAR(10),"ABC ING D.O.O., ZAGREB-DUBRAVA",CHAR(10),"LIPA L.P. D.O.O., ZAGREB",CHAR(10),"PROMPT D.O.O., ZAGREB",CHAR(10),"FANOS D.O.O.,",CHAR(10),"SONUS D.O.O., ZAGREB")</f>
        <v>INŽENJERSKI PROJEKTNI ZAVOD D.D., ZAGREB
ABC ING D.O.O., ZAGREB-DUBRAVA
LIPA L.P. D.O.O., ZAGREB
PROMPT D.O.O., ZAGREB
FANOS D.O.O.,
SONUS D.O.O., ZAGREB</v>
      </c>
      <c r="I1002" s="2"/>
      <c r="J1002" s="1"/>
      <c r="K1002" s="2"/>
    </row>
    <row r="1003" spans="1:11" ht="78.75" x14ac:dyDescent="0.25">
      <c r="A1003" s="1" t="str">
        <f>"273/2013"</f>
        <v>273/2013</v>
      </c>
      <c r="B1003" s="1" t="s">
        <v>14</v>
      </c>
      <c r="C1003" s="1" t="s">
        <v>2275</v>
      </c>
      <c r="D1003" s="1" t="str">
        <f>CONCATENATE("1222-2013-EMV",CHAR(10),"2013/S 002-0033602 od 11.04.2013, ispravak 2013/S 014-0040787 od 03.05.2013.")</f>
        <v>1222-2013-EMV
2013/S 002-0033602 od 11.04.2013, ispravak 2013/S 014-0040787 od 03.05.2013.</v>
      </c>
      <c r="E1003" s="1" t="s">
        <v>15</v>
      </c>
      <c r="F1003" s="1" t="str">
        <f>"6.225.864,00"</f>
        <v>6.225.864,00</v>
      </c>
      <c r="G1003" s="1" t="str">
        <f>CONCATENATE("24.06.2013.",CHAR(10),"360 dana")</f>
        <v>24.06.2013.
360 dana</v>
      </c>
      <c r="H1003" s="1" t="str">
        <f>CONCATENATE("ZAGREBAČKI HOLDING D.O.O., PODRUŽNICA ZRINJEVAC, ZAGREB")</f>
        <v>ZAGREBAČKI HOLDING D.O.O., PODRUŽNICA ZRINJEVAC, ZAGREB</v>
      </c>
      <c r="I1003" s="1" t="s">
        <v>406</v>
      </c>
      <c r="J1003" s="1" t="str">
        <f>SUBSTITUTE(SUBSTITUTE(SUBSTITUTE("7,781,654.63",".","-"),",","."),"-",",")</f>
        <v>7.781.654,63</v>
      </c>
      <c r="K1003" s="2"/>
    </row>
    <row r="1004" spans="1:11" ht="78.75" x14ac:dyDescent="0.25">
      <c r="A1004" s="1" t="str">
        <f>"274/2013"</f>
        <v>274/2013</v>
      </c>
      <c r="B1004" s="1" t="s">
        <v>14</v>
      </c>
      <c r="C1004" s="1" t="s">
        <v>2276</v>
      </c>
      <c r="D1004" s="1" t="str">
        <f>CONCATENATE("176-2013-EMV",CHAR(10),"2013/S 002-0027024 od 25.03.2013, ispravak 2013/S 014-0033606 od 11.04.2013.")</f>
        <v>176-2013-EMV
2013/S 002-0027024 od 25.03.2013, ispravak 2013/S 014-0033606 od 11.04.2013.</v>
      </c>
      <c r="E1004" s="1" t="s">
        <v>15</v>
      </c>
      <c r="F1004" s="1" t="str">
        <f>"110.190,00"</f>
        <v>110.190,00</v>
      </c>
      <c r="G1004" s="1" t="str">
        <f>CONCATENATE("26.06.2013.",CHAR(10),"90 dana")</f>
        <v>26.06.2013.
90 dana</v>
      </c>
      <c r="H1004" s="1" t="str">
        <f>CONCATENATE("NORMA PROM D.O.O., ZAGREB")</f>
        <v>NORMA PROM D.O.O., ZAGREB</v>
      </c>
      <c r="I1004" s="1" t="s">
        <v>345</v>
      </c>
      <c r="J1004" s="1" t="str">
        <f>SUBSTITUTE(SUBSTITUTE(SUBSTITUTE("137,737.50",".","-"),",","."),"-",",")</f>
        <v>137.737,50</v>
      </c>
      <c r="K1004" s="2"/>
    </row>
    <row r="1005" spans="1:11" ht="47.25" x14ac:dyDescent="0.25">
      <c r="A1005" s="1" t="str">
        <f>"275/2013"</f>
        <v>275/2013</v>
      </c>
      <c r="B1005" s="1" t="s">
        <v>14</v>
      </c>
      <c r="C1005" s="1" t="s">
        <v>2277</v>
      </c>
      <c r="D1005" s="1" t="str">
        <f>CONCATENATE("1367-2013-EMV",CHAR(10),"2013/S 002-0025285 od 19.03.2013.")</f>
        <v>1367-2013-EMV
2013/S 002-0025285 od 19.03.2013.</v>
      </c>
      <c r="E1005" s="1" t="s">
        <v>15</v>
      </c>
      <c r="F1005" s="1" t="str">
        <f>"581.300,00"</f>
        <v>581.300,00</v>
      </c>
      <c r="G1005" s="1" t="str">
        <f>CONCATENATE("26.06.2013.",CHAR(10),"35 dana")</f>
        <v>26.06.2013.
35 dana</v>
      </c>
      <c r="H1005" s="1" t="str">
        <f>CONCATENATE("M. SOLDO D.O.O., ZAGREB",CHAR(10),"CSS D.O.O., ZAGREB")</f>
        <v>M. SOLDO D.O.O., ZAGREB
CSS D.O.O., ZAGREB</v>
      </c>
      <c r="I1005" s="2"/>
      <c r="J1005" s="1"/>
      <c r="K1005" s="2"/>
    </row>
    <row r="1006" spans="1:11" ht="47.25" x14ac:dyDescent="0.25">
      <c r="A1006" s="1" t="str">
        <f>"276/2013"</f>
        <v>276/2013</v>
      </c>
      <c r="B1006" s="1" t="s">
        <v>136</v>
      </c>
      <c r="C1006" s="1" t="s">
        <v>2278</v>
      </c>
      <c r="D1006" s="1" t="str">
        <f>CONCATENATE("235-2013-EVV",CHAR(10),"2013/S 002-0016911 od 25.02.2013.")</f>
        <v>235-2013-EVV
2013/S 002-0016911 od 25.02.2013.</v>
      </c>
      <c r="E1006" s="1" t="s">
        <v>366</v>
      </c>
      <c r="F1006" s="1" t="str">
        <f>"36.800.000,00"</f>
        <v>36.800.000,00</v>
      </c>
      <c r="G1006" s="1" t="str">
        <f>CONCATENATE("26.06.2013.",CHAR(10),"2 godine")</f>
        <v>26.06.2013.
2 godine</v>
      </c>
      <c r="H1006" s="1" t="str">
        <f>CONCATENATE("APIS IT D.O.O., ZAGREB")</f>
        <v>APIS IT D.O.O., ZAGREB</v>
      </c>
      <c r="I1006" s="2"/>
      <c r="J1006" s="1"/>
      <c r="K1006" s="2"/>
    </row>
    <row r="1007" spans="1:11" ht="47.25" x14ac:dyDescent="0.25">
      <c r="A1007" s="1" t="str">
        <f>"277/2013"</f>
        <v>277/2013</v>
      </c>
      <c r="B1007" s="1" t="s">
        <v>14</v>
      </c>
      <c r="C1007" s="1" t="s">
        <v>2279</v>
      </c>
      <c r="D1007" s="1" t="str">
        <f>CONCATENATE("1684-2013-EMV",CHAR(10),"2013/S 002-00032168 od 08.04.2013.")</f>
        <v>1684-2013-EMV
2013/S 002-00032168 od 08.04.2013.</v>
      </c>
      <c r="E1007" s="1" t="s">
        <v>15</v>
      </c>
      <c r="F1007" s="1" t="str">
        <f>"224.500,00"</f>
        <v>224.500,00</v>
      </c>
      <c r="G1007" s="1" t="str">
        <f>CONCATENATE("26.06.2013.",CHAR(10),"12 mjeseci")</f>
        <v>26.06.2013.
12 mjeseci</v>
      </c>
      <c r="H1007" s="1" t="str">
        <f>CONCATENATE("ADRIA GRUPA D.O.O., ZAGREB")</f>
        <v>ADRIA GRUPA D.O.O., ZAGREB</v>
      </c>
      <c r="I1007" s="1" t="s">
        <v>407</v>
      </c>
      <c r="J1007" s="1" t="str">
        <f>SUBSTITUTE(SUBSTITUTE(SUBSTITUTE("205,440.50",".","-"),",","."),"-",",")</f>
        <v>205.440,50</v>
      </c>
      <c r="K1007" s="2"/>
    </row>
    <row r="1008" spans="1:11" ht="94.5" x14ac:dyDescent="0.25">
      <c r="A1008" s="1" t="str">
        <f>"278/2013"</f>
        <v>278/2013</v>
      </c>
      <c r="B1008" s="1" t="s">
        <v>14</v>
      </c>
      <c r="C1008" s="1" t="s">
        <v>2280</v>
      </c>
      <c r="D1008" s="1" t="str">
        <f>CONCATENATE("1093-2013-EMV",CHAR(10),"2013/S 002-0030758 od 3.4.2913., ispravak  2013/S 014-0036722 od 19.4.2013.  i 2013/S 014-0039099 od 26.04.2013.")</f>
        <v>1093-2013-EMV
2013/S 002-0030758 od 3.4.2913., ispravak  2013/S 014-0036722 od 19.4.2013.  i 2013/S 014-0039099 od 26.04.2013.</v>
      </c>
      <c r="E1008" s="1" t="s">
        <v>15</v>
      </c>
      <c r="F1008" s="1" t="str">
        <f>"23.276.599,20"</f>
        <v>23.276.599,20</v>
      </c>
      <c r="G1008" s="1" t="str">
        <f>CONCATENATE("26.06.2013.",CHAR(10),"15 mjeseci")</f>
        <v>26.06.2013.
15 mjeseci</v>
      </c>
      <c r="H1008" s="1" t="str">
        <f>CONCATENATE("TEH-GRADNJA D.O.O., ZAGREB",CHAR(10),"GEOANDA D.O.O., ZAGREB",CHAR(10),"SECURITAS HRVATSKA D.O.O., ZAGREB")</f>
        <v>TEH-GRADNJA D.O.O., ZAGREB
GEOANDA D.O.O., ZAGREB
SECURITAS HRVATSKA D.O.O., ZAGREB</v>
      </c>
      <c r="I1008" s="2"/>
      <c r="J1008" s="1"/>
      <c r="K1008" s="2"/>
    </row>
    <row r="1009" spans="1:11" ht="126" x14ac:dyDescent="0.25">
      <c r="A1009" s="1" t="str">
        <f>"R-10/2013"</f>
        <v>R-10/2013</v>
      </c>
      <c r="B1009" s="1" t="s">
        <v>56</v>
      </c>
      <c r="C1009" s="1" t="s">
        <v>2281</v>
      </c>
      <c r="D1009" s="1" t="str">
        <f>"EV-970-009/2011"</f>
        <v>EV-970-009/2011</v>
      </c>
      <c r="E1009" s="2"/>
      <c r="F1009" s="1" t="str">
        <f>"0,00"</f>
        <v>0,00</v>
      </c>
      <c r="G1009" s="1" t="str">
        <f>"26.06.2013."</f>
        <v>26.06.2013.</v>
      </c>
      <c r="H1009" s="1" t="str">
        <f>CONCATENATE("ZVIJEZDA D.D., ZAGREB",CHAR(10),"ŽITNJAK D.D., ZAGREB",CHAR(10),"AGRO-VIR D.O.O., ZAGREB")</f>
        <v>ZVIJEZDA D.D., ZAGREB
ŽITNJAK D.D., ZAGREB
AGRO-VIR D.O.O., ZAGREB</v>
      </c>
      <c r="I1009" s="2"/>
      <c r="J1009" s="1"/>
      <c r="K1009" s="2"/>
    </row>
    <row r="1010" spans="1:11" ht="47.25" x14ac:dyDescent="0.25">
      <c r="A1010" s="1" t="str">
        <f>"279/2013"</f>
        <v>279/2013</v>
      </c>
      <c r="B1010" s="1" t="s">
        <v>14</v>
      </c>
      <c r="C1010" s="1" t="s">
        <v>2282</v>
      </c>
      <c r="D1010" s="1" t="str">
        <f>CONCATENATE("1629-2013-EMV",CHAR(10),"2013/S 002-0032327 od 08.04.2013.")</f>
        <v>1629-2013-EMV
2013/S 002-0032327 od 08.04.2013.</v>
      </c>
      <c r="E1010" s="1" t="s">
        <v>15</v>
      </c>
      <c r="F1010" s="1" t="str">
        <f>"73.000,00"</f>
        <v>73.000,00</v>
      </c>
      <c r="G1010" s="1" t="str">
        <f>CONCATENATE("26.06.2013.",CHAR(10),"180 dana")</f>
        <v>26.06.2013.
180 dana</v>
      </c>
      <c r="H1010" s="1" t="str">
        <f>CONCATENATE("ARHINGTRADE D.O.O., ZAGREB")</f>
        <v>ARHINGTRADE D.O.O., ZAGREB</v>
      </c>
      <c r="I1010" s="1" t="s">
        <v>408</v>
      </c>
      <c r="J1010" s="1" t="str">
        <f>SUBSTITUTE(SUBSTITUTE(SUBSTITUTE("91,250.00",".","-"),",","."),"-",",")</f>
        <v>91.250,00</v>
      </c>
      <c r="K1010" s="2"/>
    </row>
    <row r="1011" spans="1:11" ht="47.25" x14ac:dyDescent="0.25">
      <c r="A1011" s="1" t="str">
        <f>"280/2013"</f>
        <v>280/2013</v>
      </c>
      <c r="B1011" s="1" t="s">
        <v>14</v>
      </c>
      <c r="C1011" s="1" t="s">
        <v>2283</v>
      </c>
      <c r="D1011" s="1" t="str">
        <f>CONCATENATE("1665-2013-EMV",CHAR(10),"2013/S 002-0019673 od 05.03.2013.")</f>
        <v>1665-2013-EMV
2013/S 002-0019673 od 05.03.2013.</v>
      </c>
      <c r="E1011" s="1" t="s">
        <v>15</v>
      </c>
      <c r="F1011" s="1" t="str">
        <f>"27.636.295,61"</f>
        <v>27.636.295,61</v>
      </c>
      <c r="G1011" s="1" t="str">
        <f>CONCATENATE("26.06.2013.",CHAR(10),"8 mjeseci")</f>
        <v>26.06.2013.
8 mjeseci</v>
      </c>
      <c r="H1011" s="1" t="str">
        <f>CONCATENATE("SWIETELSKY D.O.O., ZAGREB")</f>
        <v>SWIETELSKY D.O.O., ZAGREB</v>
      </c>
      <c r="I1011" s="1" t="s">
        <v>352</v>
      </c>
      <c r="J1011" s="1" t="str">
        <f>SUBSTITUTE(SUBSTITUTE(SUBSTITUTE("33,731,919.13",".","-"),",","."),"-",",")</f>
        <v>33.731.919,13</v>
      </c>
      <c r="K1011" s="2"/>
    </row>
    <row r="1012" spans="1:11" ht="31.5" x14ac:dyDescent="0.25">
      <c r="A1012" s="1" t="str">
        <f>"281/2013"</f>
        <v>281/2013</v>
      </c>
      <c r="B1012" s="1" t="s">
        <v>26</v>
      </c>
      <c r="C1012" s="1" t="s">
        <v>2284</v>
      </c>
      <c r="D1012" s="1" t="str">
        <f>"390-2012-EVV"</f>
        <v>390-2012-EVV</v>
      </c>
      <c r="E1012" s="2"/>
      <c r="F1012" s="1" t="str">
        <f>"758.054,27"</f>
        <v>758.054,27</v>
      </c>
      <c r="G1012" s="1" t="str">
        <f>CONCATENATE("27.06.2013.",CHAR(10),"1 godina")</f>
        <v>27.06.2013.
1 godina</v>
      </c>
      <c r="H1012" s="1" t="str">
        <f>CONCATENATE("CROATIA OSIGURANJE D.D. FILIJALA ZAGREB, ZAGREB")</f>
        <v>CROATIA OSIGURANJE D.D. FILIJALA ZAGREB, ZAGREB</v>
      </c>
      <c r="I1012" s="1" t="s">
        <v>254</v>
      </c>
      <c r="J1012" s="1" t="str">
        <f>SUBSTITUTE(SUBSTITUTE(SUBSTITUTE("758,054.27",".","-"),",","."),"-",",")</f>
        <v>758.054,27</v>
      </c>
      <c r="K1012" s="2"/>
    </row>
    <row r="1013" spans="1:11" ht="31.5" x14ac:dyDescent="0.25">
      <c r="A1013" s="1" t="str">
        <f>"282/2013"</f>
        <v>282/2013</v>
      </c>
      <c r="B1013" s="1" t="s">
        <v>26</v>
      </c>
      <c r="C1013" s="1" t="s">
        <v>2285</v>
      </c>
      <c r="D1013" s="1" t="str">
        <f>"390-2012-EVV"</f>
        <v>390-2012-EVV</v>
      </c>
      <c r="E1013" s="2"/>
      <c r="F1013" s="1" t="str">
        <f>"288.436,21"</f>
        <v>288.436,21</v>
      </c>
      <c r="G1013" s="1" t="str">
        <f>CONCATENATE("27.06.2013.",CHAR(10),"1 godina")</f>
        <v>27.06.2013.
1 godina</v>
      </c>
      <c r="H1013" s="1" t="str">
        <f>CONCATENATE("CROATIA OSIGURANJE D.D. FILIJALA ZAGREB, ZAGREB")</f>
        <v>CROATIA OSIGURANJE D.D. FILIJALA ZAGREB, ZAGREB</v>
      </c>
      <c r="I1013" s="1" t="s">
        <v>254</v>
      </c>
      <c r="J1013" s="1" t="str">
        <f>SUBSTITUTE(SUBSTITUTE(SUBSTITUTE("288,436.21",".","-"),",","."),"-",",")</f>
        <v>288.436,21</v>
      </c>
      <c r="K1013" s="2"/>
    </row>
    <row r="1014" spans="1:11" ht="78.75" x14ac:dyDescent="0.25">
      <c r="A1014" s="1" t="str">
        <f>"283/2013"</f>
        <v>283/2013</v>
      </c>
      <c r="B1014" s="1" t="s">
        <v>14</v>
      </c>
      <c r="C1014" s="1" t="s">
        <v>2286</v>
      </c>
      <c r="D1014" s="1" t="str">
        <f>CONCATENATE("1108-2013-EMV",CHAR(10),"2013/S 015-0055142 od 19.06.2013.")</f>
        <v>1108-2013-EMV
2013/S 015-0055142 od 19.06.2013.</v>
      </c>
      <c r="E1014" s="1" t="s">
        <v>12</v>
      </c>
      <c r="F1014" s="1" t="str">
        <f>"1.340.893,41"</f>
        <v>1.340.893,41</v>
      </c>
      <c r="G1014" s="1" t="str">
        <f>CONCATENATE("27.06.2013.",CHAR(10),"1 mjesec")</f>
        <v>27.06.2013.
1 mjesec</v>
      </c>
      <c r="H1014" s="1" t="str">
        <f>CONCATENATE("NEXE GRADNJA D.O.O., NAŠICE",CHAR(10),"ALARM AUTOMATIKA D.O.O., RIJEKA",CHAR(10),"KEMIS-TERMOCLEAN D.O.O., ZAGREB",CHAR(10),"GEODETIKA D.O.O., ZAGREB",CHAR(10),"ZEM NADZOR D.O.O., ZAGREB")</f>
        <v>NEXE GRADNJA D.O.O., NAŠICE
ALARM AUTOMATIKA D.O.O., RIJEKA
KEMIS-TERMOCLEAN D.O.O., ZAGREB
GEODETIKA D.O.O., ZAGREB
ZEM NADZOR D.O.O., ZAGREB</v>
      </c>
      <c r="I1014" s="1" t="s">
        <v>208</v>
      </c>
      <c r="J1014" s="1" t="str">
        <f>SUBSTITUTE(SUBSTITUTE(SUBSTITUTE("1,676,116.77",".","-"),",","."),"-",",")</f>
        <v>1.676.116,77</v>
      </c>
      <c r="K1014" s="2"/>
    </row>
    <row r="1015" spans="1:11" ht="31.5" x14ac:dyDescent="0.25">
      <c r="A1015" s="1" t="str">
        <f>"284/2013"</f>
        <v>284/2013</v>
      </c>
      <c r="B1015" s="1" t="s">
        <v>26</v>
      </c>
      <c r="C1015" s="1" t="s">
        <v>2287</v>
      </c>
      <c r="D1015" s="1" t="str">
        <f>"390-2012-EVV"</f>
        <v>390-2012-EVV</v>
      </c>
      <c r="E1015" s="2"/>
      <c r="F1015" s="1" t="str">
        <f>"818.784,45"</f>
        <v>818.784,45</v>
      </c>
      <c r="G1015" s="1" t="str">
        <f>CONCATENATE("27.06.2013.",CHAR(10),"1 godina")</f>
        <v>27.06.2013.
1 godina</v>
      </c>
      <c r="H1015" s="1" t="str">
        <f>CONCATENATE("CROATIA OSIGURANJE D.D. FILIJALA ZAGREB, ZAGREB")</f>
        <v>CROATIA OSIGURANJE D.D. FILIJALA ZAGREB, ZAGREB</v>
      </c>
      <c r="I1015" s="1" t="s">
        <v>254</v>
      </c>
      <c r="J1015" s="1" t="str">
        <f>SUBSTITUTE(SUBSTITUTE(SUBSTITUTE("818,784.45",".","-"),",","."),"-",",")</f>
        <v>818.784,45</v>
      </c>
      <c r="K1015" s="2"/>
    </row>
    <row r="1016" spans="1:11" ht="78.75" x14ac:dyDescent="0.25">
      <c r="A1016" s="1" t="str">
        <f>"285/2013"</f>
        <v>285/2013</v>
      </c>
      <c r="B1016" s="1" t="s">
        <v>14</v>
      </c>
      <c r="C1016" s="1" t="s">
        <v>2288</v>
      </c>
      <c r="D1016" s="1" t="str">
        <f>CONCATENATE("1396-2013-EMV",CHAR(10),"2013/S 002-0026883 od 22.03.2013 i ispravak 2013/S 014-0033423 od 10.04.2013.")</f>
        <v>1396-2013-EMV
2013/S 002-0026883 od 22.03.2013 i ispravak 2013/S 014-0033423 od 10.04.2013.</v>
      </c>
      <c r="E1016" s="1" t="s">
        <v>15</v>
      </c>
      <c r="F1016" s="1" t="str">
        <f>"79.000,00"</f>
        <v>79.000,00</v>
      </c>
      <c r="G1016" s="1" t="str">
        <f>CONCATENATE("28.06.2013.",CHAR(10),"45 dana")</f>
        <v>28.06.2013.
45 dana</v>
      </c>
      <c r="H1016" s="1" t="str">
        <f>CONCATENATE("EKO-PLAN D.O.O., ZAGREB",CHAR(10),"LAUREUS PROJEKT D.O.O., ZAGREB",CHAR(10),"MHM-PROJEKT D.O.O., ZAGREB",CHAR(10),"DRUGI FORMAT D.O.O., ZAGREB")</f>
        <v>EKO-PLAN D.O.O., ZAGREB
LAUREUS PROJEKT D.O.O., ZAGREB
MHM-PROJEKT D.O.O., ZAGREB
DRUGI FORMAT D.O.O., ZAGREB</v>
      </c>
      <c r="I1016" s="2"/>
      <c r="J1016" s="1"/>
      <c r="K1016" s="2"/>
    </row>
    <row r="1017" spans="1:11" ht="47.25" x14ac:dyDescent="0.25">
      <c r="A1017" s="1" t="str">
        <f>"286/2013"</f>
        <v>286/2013</v>
      </c>
      <c r="B1017" s="1" t="s">
        <v>14</v>
      </c>
      <c r="C1017" s="1" t="s">
        <v>2289</v>
      </c>
      <c r="D1017" s="1" t="str">
        <f>CONCATENATE("1628-2013-EMV",CHAR(10),"2013/S-002-0033186 od 10.04.2013.")</f>
        <v>1628-2013-EMV
2013/S-002-0033186 od 10.04.2013.</v>
      </c>
      <c r="E1017" s="1" t="s">
        <v>15</v>
      </c>
      <c r="F1017" s="1" t="str">
        <f>"38.900,00"</f>
        <v>38.900,00</v>
      </c>
      <c r="G1017" s="1" t="str">
        <f>CONCATENATE("28.06.2013.",CHAR(10),"120 dana")</f>
        <v>28.06.2013.
120 dana</v>
      </c>
      <c r="H1017" s="1" t="str">
        <f>CONCATENATE("DUBOŠ GRADNJA D.O.O., ZAGREB")</f>
        <v>DUBOŠ GRADNJA D.O.O., ZAGREB</v>
      </c>
      <c r="I1017" s="1" t="s">
        <v>409</v>
      </c>
      <c r="J1017" s="1" t="str">
        <f>SUBSTITUTE(SUBSTITUTE(SUBSTITUTE("48,625.00",".","-"),",","."),"-",",")</f>
        <v>48.625,00</v>
      </c>
      <c r="K1017" s="2"/>
    </row>
    <row r="1018" spans="1:11" ht="47.25" x14ac:dyDescent="0.25">
      <c r="A1018" s="1" t="str">
        <f>"287/2013"</f>
        <v>287/2013</v>
      </c>
      <c r="B1018" s="1" t="s">
        <v>14</v>
      </c>
      <c r="C1018" s="1" t="s">
        <v>2290</v>
      </c>
      <c r="D1018" s="1" t="str">
        <f>CONCATENATE("1685-2013-EMV",CHAR(10),"2013/S 002-00032634 od 09.04.2013.")</f>
        <v>1685-2013-EMV
2013/S 002-00032634 od 09.04.2013.</v>
      </c>
      <c r="E1018" s="1" t="s">
        <v>15</v>
      </c>
      <c r="F1018" s="1" t="str">
        <f>"146.279,20"</f>
        <v>146.279,20</v>
      </c>
      <c r="G1018" s="1" t="str">
        <f>CONCATENATE("28.06.2013.",CHAR(10),"12 mjeseci")</f>
        <v>28.06.2013.
12 mjeseci</v>
      </c>
      <c r="H1018" s="1" t="str">
        <f>CONCATENATE("ŽITNJAK D.D., ZAGREB")</f>
        <v>ŽITNJAK D.D., ZAGREB</v>
      </c>
      <c r="I1018" s="1" t="s">
        <v>254</v>
      </c>
      <c r="J1018" s="1" t="str">
        <f>SUBSTITUTE(SUBSTITUTE(SUBSTITUTE("103,623.56",".","-"),",","."),"-",",")</f>
        <v>103.623,56</v>
      </c>
      <c r="K1018" s="2"/>
    </row>
    <row r="1019" spans="1:11" ht="110.25" x14ac:dyDescent="0.25">
      <c r="A1019" s="1" t="str">
        <f>"A-65/2013"</f>
        <v>A-65/2013</v>
      </c>
      <c r="B1019" s="1" t="s">
        <v>11</v>
      </c>
      <c r="C1019" s="1" t="s">
        <v>2291</v>
      </c>
      <c r="D1019" s="1" t="str">
        <f>"1858-2012-EMV"</f>
        <v>1858-2012-EMV</v>
      </c>
      <c r="E1019" s="2"/>
      <c r="F1019" s="1" t="str">
        <f>"0,00"</f>
        <v>0,00</v>
      </c>
      <c r="G1019" s="1" t="str">
        <f>CONCATENATE("28.06.2013.",CHAR(10),"31.12.2013.")</f>
        <v>28.06.2013.
31.12.2013.</v>
      </c>
      <c r="H1019" s="1" t="str">
        <f>CONCATENATE("TEH-GRADNJA D.O.O., ZAGREB",CHAR(10),"GEOANDA D.O.O., ZAGREB",CHAR(10),"C.I.A.K. D.O.O., ZAGREB",CHAR(10),"INSPEKT D.O.O., ZAGREB",CHAR(10),"VIZOR D.O.O., VARAŽDIN",CHAR(10),"EURO-S 2000 D.O.O., ZAGREB",CHAR(10),"GEOEXPERT-I.G.M. D.O.O., ZAGREB")</f>
        <v>TEH-GRADNJA D.O.O., ZAGREB
GEOANDA D.O.O., ZAGREB
C.I.A.K. D.O.O., ZAGREB
INSPEKT D.O.O., ZAGREB
VIZOR D.O.O., VARAŽDIN
EURO-S 2000 D.O.O., ZAGREB
GEOEXPERT-I.G.M. D.O.O., ZAGREB</v>
      </c>
      <c r="I1019" s="2"/>
      <c r="J1019" s="1"/>
      <c r="K1019" s="2"/>
    </row>
    <row r="1020" spans="1:11" ht="47.25" x14ac:dyDescent="0.25">
      <c r="A1020" s="1" t="str">
        <f>"R-11/2013"</f>
        <v>R-11/2013</v>
      </c>
      <c r="B1020" s="1" t="s">
        <v>56</v>
      </c>
      <c r="C1020" s="1" t="s">
        <v>2292</v>
      </c>
      <c r="D1020" s="1" t="str">
        <f>"EV-673-012/2011."</f>
        <v>EV-673-012/2011.</v>
      </c>
      <c r="E1020" s="2"/>
      <c r="F1020" s="1" t="str">
        <f>"0,00"</f>
        <v>0,00</v>
      </c>
      <c r="G1020" s="1" t="str">
        <f>"28.06.2013."</f>
        <v>28.06.2013.</v>
      </c>
      <c r="H1020" s="1" t="str">
        <f>CONCATENATE("AMB GRADNJA D.O.O., ZAGREB",CHAR(10),"GEO OMEGA D.O.O., ZAGREB")</f>
        <v>AMB GRADNJA D.O.O., ZAGREB
GEO OMEGA D.O.O., ZAGREB</v>
      </c>
      <c r="I1020" s="2"/>
      <c r="J1020" s="1"/>
      <c r="K1020" s="2"/>
    </row>
    <row r="1021" spans="1:11" ht="47.25" x14ac:dyDescent="0.25">
      <c r="A1021" s="1" t="str">
        <f>"A-66/2013"</f>
        <v>A-66/2013</v>
      </c>
      <c r="B1021" s="1" t="s">
        <v>11</v>
      </c>
      <c r="C1021" s="1" t="s">
        <v>2293</v>
      </c>
      <c r="D1021" s="1" t="str">
        <f>"EV-469-009/2011"</f>
        <v>EV-469-009/2011</v>
      </c>
      <c r="E1021" s="2"/>
      <c r="F1021" s="1" t="str">
        <f>"0,00"</f>
        <v>0,00</v>
      </c>
      <c r="G1021" s="1" t="str">
        <f>CONCATENATE("28.06.2013.",CHAR(10),"30 dana")</f>
        <v>28.06.2013.
30 dana</v>
      </c>
      <c r="H1021" s="1" t="str">
        <f>CONCATENATE("TEH-GRADNJA D.O.O., ZAGREB")</f>
        <v>TEH-GRADNJA D.O.O., ZAGREB</v>
      </c>
      <c r="I1021" s="2"/>
      <c r="J1021" s="1"/>
      <c r="K1021" s="2"/>
    </row>
    <row r="1022" spans="1:11" ht="47.25" x14ac:dyDescent="0.25">
      <c r="A1022" s="1" t="str">
        <f>"288/2013"</f>
        <v>288/2013</v>
      </c>
      <c r="B1022" s="1" t="s">
        <v>14</v>
      </c>
      <c r="C1022" s="1" t="s">
        <v>2294</v>
      </c>
      <c r="D1022" s="1" t="str">
        <f>CONCATENATE("1149-2013-EMV",CHAR(10),"2013/S 002-0037311 od 23.04.2013.")</f>
        <v>1149-2013-EMV
2013/S 002-0037311 od 23.04.2013.</v>
      </c>
      <c r="E1022" s="1" t="s">
        <v>15</v>
      </c>
      <c r="F1022" s="1" t="str">
        <f>"419.965,40"</f>
        <v>419.965,40</v>
      </c>
      <c r="G1022" s="1" t="str">
        <f>CONCATENATE("28.06.2013.",CHAR(10),"10 mjeseci")</f>
        <v>28.06.2013.
10 mjeseci</v>
      </c>
      <c r="H1022" s="1" t="str">
        <f>CONCATENATE("GRADNJAPROJEKT- ZAGREB D.O.O., ZAGREB",CHAR(10),"TERRACOTTA D.O.O., ZAGREB")</f>
        <v>GRADNJAPROJEKT- ZAGREB D.O.O., ZAGREB
TERRACOTTA D.O.O., ZAGREB</v>
      </c>
      <c r="I1022" s="1" t="s">
        <v>251</v>
      </c>
      <c r="J1022" s="1" t="str">
        <f>SUBSTITUTE(SUBSTITUTE(SUBSTITUTE("510,229.06",".","-"),",","."),"-",",")</f>
        <v>510.229,06</v>
      </c>
      <c r="K1022" s="2"/>
    </row>
    <row r="1023" spans="1:11" ht="78.75" x14ac:dyDescent="0.25">
      <c r="A1023" s="1" t="str">
        <f>"289/2013"</f>
        <v>289/2013</v>
      </c>
      <c r="B1023" s="1" t="s">
        <v>14</v>
      </c>
      <c r="C1023" s="1" t="s">
        <v>2295</v>
      </c>
      <c r="D1023" s="1" t="str">
        <f>CONCATENATE("1112-2013-EMV",CHAR(10),"2013/S 002-0034749 od 15.04.2013, ispravak 2013/S 014-0039042 od 26.04.2013.")</f>
        <v>1112-2013-EMV
2013/S 002-0034749 od 15.04.2013, ispravak 2013/S 014-0039042 od 26.04.2013.</v>
      </c>
      <c r="E1023" s="1" t="s">
        <v>15</v>
      </c>
      <c r="F1023" s="1" t="str">
        <f>"275.225,00"</f>
        <v>275.225,00</v>
      </c>
      <c r="G1023" s="1" t="str">
        <f>CONCATENATE("01.07.2013.",CHAR(10),"3 mjeseca")</f>
        <v>01.07.2013.
3 mjeseca</v>
      </c>
      <c r="H1023" s="1" t="str">
        <f>CONCATENATE("FESTTA D.O.O., ZAGREB")</f>
        <v>FESTTA D.O.O., ZAGREB</v>
      </c>
      <c r="I1023" s="1" t="s">
        <v>269</v>
      </c>
      <c r="J1023" s="1" t="str">
        <f>SUBSTITUTE(SUBSTITUTE(SUBSTITUTE("344,031.25",".","-"),",","."),"-",",")</f>
        <v>344.031,25</v>
      </c>
      <c r="K1023" s="2"/>
    </row>
    <row r="1024" spans="1:11" ht="110.25" x14ac:dyDescent="0.25">
      <c r="A1024" s="1" t="str">
        <f>"290/2013"</f>
        <v>290/2013</v>
      </c>
      <c r="B1024" s="1" t="s">
        <v>136</v>
      </c>
      <c r="C1024" s="1" t="s">
        <v>2296</v>
      </c>
      <c r="D1024" s="1" t="str">
        <f>CONCATENATE("3199-2012-EVV",CHAR(10),"2013/S 002-0002936 OD 15.1.2013., te isp. 2013/S 014-0006748 od 28.1.2013., 2013/S 014-014-0007197 od 29.01.2013.")</f>
        <v>3199-2012-EVV
2013/S 002-0002936 OD 15.1.2013., te isp. 2013/S 014-0006748 od 28.1.2013., 2013/S 014-014-0007197 od 29.01.2013.</v>
      </c>
      <c r="E1024" s="1" t="s">
        <v>366</v>
      </c>
      <c r="F1024" s="1" t="str">
        <f>"6.699.720,00"</f>
        <v>6.699.720,00</v>
      </c>
      <c r="G1024" s="1" t="str">
        <f>CONCATENATE("02.07.2013.",CHAR(10),"2 godine")</f>
        <v>02.07.2013.
2 godine</v>
      </c>
      <c r="H1024" s="1" t="str">
        <f>CONCATENATE("METRONET TELEKOMUNIKACIJE D.D., ZAGREB")</f>
        <v>METRONET TELEKOMUNIKACIJE D.D., ZAGREB</v>
      </c>
      <c r="I1024" s="2"/>
      <c r="J1024" s="1"/>
      <c r="K1024" s="2"/>
    </row>
    <row r="1025" spans="1:11" ht="47.25" x14ac:dyDescent="0.25">
      <c r="A1025" s="1" t="str">
        <f>"291/2013"</f>
        <v>291/2013</v>
      </c>
      <c r="B1025" s="1" t="s">
        <v>14</v>
      </c>
      <c r="C1025" s="1" t="s">
        <v>628</v>
      </c>
      <c r="D1025" s="1" t="str">
        <f>CONCATENATE("583-2013-EMV",CHAR(10),"2013/S 015-0054771 od 18.06.2013.")</f>
        <v>583-2013-EMV
2013/S 015-0054771 od 18.06.2013.</v>
      </c>
      <c r="E1025" s="1" t="s">
        <v>40</v>
      </c>
      <c r="F1025" s="1" t="str">
        <f>"638.630,00"</f>
        <v>638.630,00</v>
      </c>
      <c r="G1025" s="1" t="str">
        <f>CONCATENATE("05.07.2013.",CHAR(10),"1 godina")</f>
        <v>05.07.2013.
1 godina</v>
      </c>
      <c r="H1025" s="1" t="str">
        <f>CONCATENATE("VETERINARSKA STANICA GRADA ZAGREBA D.O.O., ZAGREB")</f>
        <v>VETERINARSKA STANICA GRADA ZAGREBA D.O.O., ZAGREB</v>
      </c>
      <c r="I1025" s="1" t="s">
        <v>254</v>
      </c>
      <c r="J1025" s="1" t="str">
        <f>SUBSTITUTE(SUBSTITUTE(SUBSTITUTE("798,275.00",".","-"),",","."),"-",",")</f>
        <v>798.275,00</v>
      </c>
      <c r="K1025" s="2"/>
    </row>
    <row r="1026" spans="1:11" ht="47.25" x14ac:dyDescent="0.25">
      <c r="A1026" s="1" t="str">
        <f>"292/2013"</f>
        <v>292/2013</v>
      </c>
      <c r="B1026" s="1" t="s">
        <v>14</v>
      </c>
      <c r="C1026" s="1" t="s">
        <v>2297</v>
      </c>
      <c r="D1026" s="1" t="str">
        <f>CONCATENATE("502-2013-EMV",CHAR(10),"2013/S 015-0057618 od 28.06.2013.")</f>
        <v>502-2013-EMV
2013/S 015-0057618 od 28.06.2013.</v>
      </c>
      <c r="E1026" s="1" t="s">
        <v>12</v>
      </c>
      <c r="F1026" s="1" t="str">
        <f>"104.815,86"</f>
        <v>104.815,86</v>
      </c>
      <c r="G1026" s="1" t="str">
        <f>CONCATENATE("05.07.2013.",CHAR(10),"30 dana")</f>
        <v>05.07.2013.
30 dana</v>
      </c>
      <c r="H1026" s="1" t="str">
        <f>CONCATENATE("O.K.I. MONT D.O.O., ZAGREB",CHAR(10),"KEMIS-TERMOCLEAN D.O.O., ZAGREB")</f>
        <v>O.K.I. MONT D.O.O., ZAGREB
KEMIS-TERMOCLEAN D.O.O., ZAGREB</v>
      </c>
      <c r="I1026" s="1" t="s">
        <v>173</v>
      </c>
      <c r="J1026" s="1" t="str">
        <f>SUBSTITUTE(SUBSTITUTE(SUBSTITUTE("131,019.83",".","-"),",","."),"-",",")</f>
        <v>131.019,83</v>
      </c>
      <c r="K1026" s="2"/>
    </row>
    <row r="1027" spans="1:11" ht="31.5" x14ac:dyDescent="0.25">
      <c r="A1027" s="1" t="str">
        <f>"A-67/2013"</f>
        <v>A-67/2013</v>
      </c>
      <c r="B1027" s="1" t="s">
        <v>11</v>
      </c>
      <c r="C1027" s="1" t="s">
        <v>2298</v>
      </c>
      <c r="D1027" s="1" t="str">
        <f>"EM-686-022/2011"</f>
        <v>EM-686-022/2011</v>
      </c>
      <c r="E1027" s="2"/>
      <c r="F1027" s="1" t="str">
        <f>"0,00"</f>
        <v>0,00</v>
      </c>
      <c r="G1027" s="1" t="str">
        <f>CONCATENATE("05.07.2013.",CHAR(10),"60 dana")</f>
        <v>05.07.2013.
60 dana</v>
      </c>
      <c r="H1027" s="1" t="str">
        <f>CONCATENATE("NAVA D.O.O., ZAGREB")</f>
        <v>NAVA D.O.O., ZAGREB</v>
      </c>
      <c r="I1027" s="2"/>
      <c r="J1027" s="1"/>
      <c r="K1027" s="2"/>
    </row>
    <row r="1028" spans="1:11" ht="47.25" x14ac:dyDescent="0.25">
      <c r="A1028" s="1" t="str">
        <f>"293/2013"</f>
        <v>293/2013</v>
      </c>
      <c r="B1028" s="1" t="s">
        <v>14</v>
      </c>
      <c r="C1028" s="1" t="s">
        <v>2299</v>
      </c>
      <c r="D1028" s="1" t="str">
        <f>CONCATENATE("811-2012-EMV",CHAR(10),"2012/S 002-0080822 od 16.11.2012.")</f>
        <v>811-2012-EMV
2012/S 002-0080822 od 16.11.2012.</v>
      </c>
      <c r="E1028" s="1" t="s">
        <v>15</v>
      </c>
      <c r="F1028" s="1" t="str">
        <f>"30.000,00"</f>
        <v>30.000,00</v>
      </c>
      <c r="G1028" s="1" t="str">
        <f>CONCATENATE("05.07.2013.",CHAR(10),"3 mjeseca")</f>
        <v>05.07.2013.
3 mjeseca</v>
      </c>
      <c r="H1028" s="1" t="str">
        <f>CONCATENATE("NERING PROJEKT D.O.O., ZAGREB",CHAR(10),"GEOAQUA D.O.O., ZAGREB")</f>
        <v>NERING PROJEKT D.O.O., ZAGREB
GEOAQUA D.O.O., ZAGREB</v>
      </c>
      <c r="I1028" s="2"/>
      <c r="J1028" s="1"/>
      <c r="K1028" s="2"/>
    </row>
    <row r="1029" spans="1:11" ht="78.75" x14ac:dyDescent="0.25">
      <c r="A1029" s="1" t="str">
        <f>"294/2013"</f>
        <v>294/2013</v>
      </c>
      <c r="B1029" s="1" t="s">
        <v>14</v>
      </c>
      <c r="C1029" s="1" t="s">
        <v>2300</v>
      </c>
      <c r="D1029" s="1" t="str">
        <f>CONCATENATE("1261-2013-EMV",CHAR(10),"2013/S 002-0021258 od. 08.03.2013, isp. 2013/S 014-0025481 od 20.03.2013.")</f>
        <v>1261-2013-EMV
2013/S 002-0021258 od. 08.03.2013, isp. 2013/S 014-0025481 od 20.03.2013.</v>
      </c>
      <c r="E1029" s="1" t="s">
        <v>15</v>
      </c>
      <c r="F1029" s="1" t="str">
        <f>"700.885,00"</f>
        <v>700.885,00</v>
      </c>
      <c r="G1029" s="1" t="str">
        <f>CONCATENATE("05.07.2013.",CHAR(10),"60 dana")</f>
        <v>05.07.2013.
60 dana</v>
      </c>
      <c r="H1029" s="1" t="str">
        <f>CONCATENATE("NERING D.O.O., SESVETE",CHAR(10),"MJERNIK LIMA D.O.O., ZAGREB")</f>
        <v>NERING D.O.O., SESVETE
MJERNIK LIMA D.O.O., ZAGREB</v>
      </c>
      <c r="I1029" s="1" t="s">
        <v>285</v>
      </c>
      <c r="J1029" s="1" t="str">
        <f>SUBSTITUTE(SUBSTITUTE(SUBSTITUTE("875,869.71",".","-"),",","."),"-",",")</f>
        <v>875.869,71</v>
      </c>
      <c r="K1029" s="2"/>
    </row>
    <row r="1030" spans="1:11" ht="47.25" x14ac:dyDescent="0.25">
      <c r="A1030" s="1" t="str">
        <f>"295/2013"</f>
        <v>295/2013</v>
      </c>
      <c r="B1030" s="1" t="s">
        <v>14</v>
      </c>
      <c r="C1030" s="1" t="s">
        <v>2301</v>
      </c>
      <c r="D1030" s="1" t="str">
        <f>CONCATENATE("1296-2013-EMV",CHAR(10),"2013/S 002-0027536 od 26.03.2013.")</f>
        <v>1296-2013-EMV
2013/S 002-0027536 od 26.03.2013.</v>
      </c>
      <c r="E1030" s="1" t="s">
        <v>15</v>
      </c>
      <c r="F1030" s="1" t="str">
        <f>"43.226,80"</f>
        <v>43.226,80</v>
      </c>
      <c r="G1030" s="1" t="str">
        <f>CONCATENATE("05.07.2013.",CHAR(10),"60 dana")</f>
        <v>05.07.2013.
60 dana</v>
      </c>
      <c r="H1030" s="1" t="str">
        <f>CONCATENATE("FANOS D.O.O.,")</f>
        <v>FANOS D.O.O.,</v>
      </c>
      <c r="I1030" s="2"/>
      <c r="J1030" s="1"/>
      <c r="K1030" s="2"/>
    </row>
    <row r="1031" spans="1:11" ht="141.75" x14ac:dyDescent="0.25">
      <c r="A1031" s="1" t="str">
        <f>"296/2013"</f>
        <v>296/2013</v>
      </c>
      <c r="B1031" s="1" t="s">
        <v>136</v>
      </c>
      <c r="C1031" s="1" t="s">
        <v>2302</v>
      </c>
      <c r="D1031" s="1" t="str">
        <f>CONCATENATE("210-2013-EMV",CHAR(10),"2013/S 002-0025857 od 19.03.2013.")</f>
        <v>210-2013-EMV
2013/S 002-0025857 od 19.03.2013.</v>
      </c>
      <c r="E1031" s="1" t="s">
        <v>366</v>
      </c>
      <c r="F1031" s="1" t="str">
        <f>"178.310,00"</f>
        <v>178.310,00</v>
      </c>
      <c r="G1031" s="1" t="str">
        <f>CONCATENATE("05.07.2013.",CHAR(10),"2 godine")</f>
        <v>05.07.2013.
2 godine</v>
      </c>
      <c r="H1031" s="1" t="str">
        <f>CONCATENATE("INSPEKT D.O.O., ZAGREB")</f>
        <v>INSPEKT D.O.O., ZAGREB</v>
      </c>
      <c r="I1031" s="2"/>
      <c r="J1031" s="1"/>
      <c r="K1031" s="2"/>
    </row>
    <row r="1032" spans="1:11" ht="47.25" x14ac:dyDescent="0.25">
      <c r="A1032" s="1" t="str">
        <f>"297/2013"</f>
        <v>297/2013</v>
      </c>
      <c r="B1032" s="1" t="s">
        <v>136</v>
      </c>
      <c r="C1032" s="1" t="s">
        <v>2303</v>
      </c>
      <c r="D1032" s="1" t="str">
        <f>CONCATENATE("197-2013-EMV",CHAR(10),"2013/S-002-0029966 od 29.03.2013.")</f>
        <v>197-2013-EMV
2013/S-002-0029966 od 29.03.2013.</v>
      </c>
      <c r="E1032" s="1" t="s">
        <v>366</v>
      </c>
      <c r="F1032" s="1" t="str">
        <f>"75.931,58"</f>
        <v>75.931,58</v>
      </c>
      <c r="G1032" s="1" t="str">
        <f>CONCATENATE("05.07.2013.",CHAR(10),"2 godine")</f>
        <v>05.07.2013.
2 godine</v>
      </c>
      <c r="H1032" s="1" t="str">
        <f>CONCATENATE("INEL-MONTAŽA D.O.O., ZAGREB")</f>
        <v>INEL-MONTAŽA D.O.O., ZAGREB</v>
      </c>
      <c r="I1032" s="2"/>
      <c r="J1032" s="1"/>
      <c r="K1032" s="2"/>
    </row>
    <row r="1033" spans="1:11" ht="47.25" x14ac:dyDescent="0.25">
      <c r="A1033" s="1" t="str">
        <f>"298/2013"</f>
        <v>298/2013</v>
      </c>
      <c r="B1033" s="1" t="s">
        <v>14</v>
      </c>
      <c r="C1033" s="1" t="s">
        <v>2304</v>
      </c>
      <c r="D1033" s="1" t="str">
        <f>CONCATENATE("179-2013-EMV",CHAR(10),"2013-S-002-0030785 od 03.04.2013.")</f>
        <v>179-2013-EMV
2013-S-002-0030785 od 03.04.2013.</v>
      </c>
      <c r="E1033" s="1" t="s">
        <v>15</v>
      </c>
      <c r="F1033" s="1" t="str">
        <f>"115.613,00"</f>
        <v>115.613,00</v>
      </c>
      <c r="G1033" s="1" t="str">
        <f>CONCATENATE("05.07.2013.",CHAR(10),"12 mjeseci")</f>
        <v>05.07.2013.
12 mjeseci</v>
      </c>
      <c r="H1033" s="1" t="str">
        <f>CONCATENATE("ŠPREM D.O.O., ZAGREB")</f>
        <v>ŠPREM D.O.O., ZAGREB</v>
      </c>
      <c r="I1033" s="1" t="s">
        <v>410</v>
      </c>
      <c r="J1033" s="1" t="str">
        <f>SUBSTITUTE(SUBSTITUTE(SUBSTITUTE("143,868.62",".","-"),",","."),"-",",")</f>
        <v>143.868,62</v>
      </c>
      <c r="K1033" s="2"/>
    </row>
    <row r="1034" spans="1:11" ht="78.75" x14ac:dyDescent="0.25">
      <c r="A1034" s="1" t="str">
        <f>"299/2013"</f>
        <v>299/2013</v>
      </c>
      <c r="B1034" s="1" t="s">
        <v>14</v>
      </c>
      <c r="C1034" s="1" t="s">
        <v>2305</v>
      </c>
      <c r="D1034" s="1" t="str">
        <f>CONCATENATE("1-2013-EVV",CHAR(10),"2013/S 015-0053749 od 14.06.2013.")</f>
        <v>1-2013-EVV
2013/S 015-0053749 od 14.06.2013.</v>
      </c>
      <c r="E1034" s="1" t="s">
        <v>40</v>
      </c>
      <c r="F1034" s="1" t="str">
        <f>"1.485.345,00"</f>
        <v>1.485.345,00</v>
      </c>
      <c r="G1034" s="1" t="str">
        <f>CONCATENATE("01.07.2013.",CHAR(10),"Obveza izvršiti predmet Ugovora od danas obostranog potpisa Ugovora do izvrš.usl.troškovnika")</f>
        <v>01.07.2013.
Obveza izvršiti predmet Ugovora od danas obostranog potpisa Ugovora do izvrš.usl.troškovnika</v>
      </c>
      <c r="H1034" s="1" t="str">
        <f>CONCATENATE("BAN TOURS D.O.O., ZAGREB")</f>
        <v>BAN TOURS D.O.O., ZAGREB</v>
      </c>
      <c r="I1034" s="2"/>
      <c r="J1034" s="1"/>
      <c r="K1034" s="2"/>
    </row>
    <row r="1035" spans="1:11" ht="78.75" x14ac:dyDescent="0.25">
      <c r="A1035" s="1" t="str">
        <f>"A-68/2013"</f>
        <v>A-68/2013</v>
      </c>
      <c r="B1035" s="1" t="s">
        <v>11</v>
      </c>
      <c r="C1035" s="1" t="s">
        <v>2306</v>
      </c>
      <c r="D1035" s="1" t="str">
        <f>"EV-616-022/2011"</f>
        <v>EV-616-022/2011</v>
      </c>
      <c r="E1035" s="2"/>
      <c r="F1035" s="1" t="str">
        <f>"0,00"</f>
        <v>0,00</v>
      </c>
      <c r="G1035" s="1" t="str">
        <f>CONCATENATE("08.07.2013.",CHAR(10),"7 mjeseci")</f>
        <v>08.07.2013.
7 mjeseci</v>
      </c>
      <c r="H1035" s="1" t="str">
        <f>CONCATENATE("TERMORAD D.O.O., ZAGREB")</f>
        <v>TERMORAD D.O.O., ZAGREB</v>
      </c>
      <c r="I1035" s="2"/>
      <c r="J1035" s="1"/>
      <c r="K1035" s="2"/>
    </row>
    <row r="1036" spans="1:11" ht="47.25" x14ac:dyDescent="0.25">
      <c r="A1036" s="1" t="str">
        <f>"A-69/2013"</f>
        <v>A-69/2013</v>
      </c>
      <c r="B1036" s="1" t="s">
        <v>11</v>
      </c>
      <c r="C1036" s="1" t="s">
        <v>2307</v>
      </c>
      <c r="D1036" s="1" t="str">
        <f>"1112-2012-EMV"</f>
        <v>1112-2012-EMV</v>
      </c>
      <c r="E1036" s="2"/>
      <c r="F1036" s="1" t="str">
        <f>"0,00"</f>
        <v>0,00</v>
      </c>
      <c r="G1036" s="1" t="str">
        <f>CONCATENATE("08.07.2013.",CHAR(10),"3 mjeseca")</f>
        <v>08.07.2013.
3 mjeseca</v>
      </c>
      <c r="H1036" s="1" t="str">
        <f>CONCATENATE("TERMORAD D.O.O., ZAGREB")</f>
        <v>TERMORAD D.O.O., ZAGREB</v>
      </c>
      <c r="I1036" s="2"/>
      <c r="J1036" s="1"/>
      <c r="K1036" s="2"/>
    </row>
    <row r="1037" spans="1:11" ht="47.25" x14ac:dyDescent="0.25">
      <c r="A1037" s="1" t="str">
        <f>"300/2013"</f>
        <v>300/2013</v>
      </c>
      <c r="B1037" s="1" t="s">
        <v>14</v>
      </c>
      <c r="C1037" s="1" t="s">
        <v>2308</v>
      </c>
      <c r="D1037" s="1" t="str">
        <f>CONCATENATE("561-2013-EMV",CHAR(10),"2013/S 015-0059767 od 04.07.2013.")</f>
        <v>561-2013-EMV
2013/S 015-0059767 od 04.07.2013.</v>
      </c>
      <c r="E1037" s="1" t="s">
        <v>40</v>
      </c>
      <c r="F1037" s="1" t="str">
        <f>"557.708,00"</f>
        <v>557.708,00</v>
      </c>
      <c r="G1037" s="1" t="str">
        <f>CONCATENATE("09.07.2013.",CHAR(10),"Tijekom srpnja i kolovoza (4 termina)")</f>
        <v>09.07.2013.
Tijekom srpnja i kolovoza (4 termina)</v>
      </c>
      <c r="H1037" s="1" t="str">
        <f>CONCATENATE("HRVATSKI CRVENI KRIŽ, GRADSKO DRUŠTVO CRVENOG KRIŽA ZAGREB, ZAGREB")</f>
        <v>HRVATSKI CRVENI KRIŽ, GRADSKO DRUŠTVO CRVENOG KRIŽA ZAGREB, ZAGREB</v>
      </c>
      <c r="I1037" s="1" t="s">
        <v>223</v>
      </c>
      <c r="J1037" s="1" t="str">
        <f>SUBSTITUTE(SUBSTITUTE(SUBSTITUTE("480,484.00",".","-"),",","."),"-",",")</f>
        <v>480.484,00</v>
      </c>
      <c r="K1037" s="2"/>
    </row>
    <row r="1038" spans="1:11" ht="47.25" x14ac:dyDescent="0.25">
      <c r="A1038" s="1" t="str">
        <f>"301/2013"</f>
        <v>301/2013</v>
      </c>
      <c r="B1038" s="1" t="s">
        <v>14</v>
      </c>
      <c r="C1038" s="1" t="s">
        <v>2309</v>
      </c>
      <c r="D1038" s="1" t="str">
        <f>CONCATENATE("2247-2013-EMV",CHAR(10),"2013/S 015-0058474 od 01.07.2013.")</f>
        <v>2247-2013-EMV
2013/S 015-0058474 od 01.07.2013.</v>
      </c>
      <c r="E1038" s="1" t="s">
        <v>40</v>
      </c>
      <c r="F1038" s="1" t="str">
        <f>"348.834,00"</f>
        <v>348.834,00</v>
      </c>
      <c r="G1038" s="1" t="str">
        <f>CONCATENATE("09.07.2013.",CHAR(10),"Tijekom srpnja i kolovoza (4 termina)")</f>
        <v>09.07.2013.
Tijekom srpnja i kolovoza (4 termina)</v>
      </c>
      <c r="H1038" s="1" t="str">
        <f>CONCATENATE("HRVATSKI CRVENI KRIŽ, GRADSKO DRUŠTVO CRVENOG KRIŽA ZAGREB, ZAGREB")</f>
        <v>HRVATSKI CRVENI KRIŽ, GRADSKO DRUŠTVO CRVENOG KRIŽA ZAGREB, ZAGREB</v>
      </c>
      <c r="I1038" s="1" t="s">
        <v>131</v>
      </c>
      <c r="J1038" s="1" t="str">
        <f>SUBSTITUTE(SUBSTITUTE(SUBSTITUTE("348,834.00",".","-"),",","."),"-",",")</f>
        <v>348.834,00</v>
      </c>
      <c r="K1038" s="2"/>
    </row>
    <row r="1039" spans="1:11" ht="47.25" x14ac:dyDescent="0.25">
      <c r="A1039" s="1" t="str">
        <f>"302/2013"</f>
        <v>302/2013</v>
      </c>
      <c r="B1039" s="1" t="s">
        <v>14</v>
      </c>
      <c r="C1039" s="1" t="s">
        <v>831</v>
      </c>
      <c r="D1039" s="1" t="str">
        <f>CONCATENATE("1736-2013-EMV",CHAR(10),"2013/S 002-0044339 od 15.05.2013.")</f>
        <v>1736-2013-EMV
2013/S 002-0044339 od 15.05.2013.</v>
      </c>
      <c r="E1039" s="1" t="s">
        <v>15</v>
      </c>
      <c r="F1039" s="1" t="str">
        <f>"414.647,23"</f>
        <v>414.647,23</v>
      </c>
      <c r="G1039" s="1" t="str">
        <f>CONCATENATE("10.07.2013.",CHAR(10),"2 mjeseca")</f>
        <v>10.07.2013.
2 mjeseca</v>
      </c>
      <c r="H1039" s="1" t="str">
        <f>CONCATENATE("COMBIS D.O.O., ZAGREB")</f>
        <v>COMBIS D.O.O., ZAGREB</v>
      </c>
      <c r="I1039" s="1" t="s">
        <v>299</v>
      </c>
      <c r="J1039" s="1" t="str">
        <f>SUBSTITUTE(SUBSTITUTE(SUBSTITUTE("518,309.04",".","-"),",","."),"-",",")</f>
        <v>518.309,04</v>
      </c>
      <c r="K1039" s="2"/>
    </row>
    <row r="1040" spans="1:11" ht="47.25" x14ac:dyDescent="0.25">
      <c r="A1040" s="1" t="str">
        <f>"303/2013"</f>
        <v>303/2013</v>
      </c>
      <c r="B1040" s="1" t="s">
        <v>14</v>
      </c>
      <c r="C1040" s="1" t="s">
        <v>2310</v>
      </c>
      <c r="D1040" s="1" t="str">
        <f>CONCATENATE("1666-2013-EMV",CHAR(10),"2013/S 002-0030252 od 02.04.2013.")</f>
        <v>1666-2013-EMV
2013/S 002-0030252 od 02.04.2013.</v>
      </c>
      <c r="E1040" s="1" t="s">
        <v>15</v>
      </c>
      <c r="F1040" s="1" t="str">
        <f>"3.095.856,00"</f>
        <v>3.095.856,00</v>
      </c>
      <c r="G1040" s="1" t="str">
        <f>CONCATENATE("10.07.2013.",CHAR(10),"30 dana")</f>
        <v>10.07.2013.
30 dana</v>
      </c>
      <c r="H1040" s="1" t="str">
        <f>CONCATENATE("GEORAD D.O.O., ZAGREB",CHAR(10),"GEOEXPERT-I.G.M. D.O.O., ZAGREB")</f>
        <v>GEORAD D.O.O., ZAGREB
GEOEXPERT-I.G.M. D.O.O., ZAGREB</v>
      </c>
      <c r="I1040" s="1" t="s">
        <v>397</v>
      </c>
      <c r="J1040" s="1" t="str">
        <f>SUBSTITUTE(SUBSTITUTE(SUBSTITUTE("3,861,664.21",".","-"),",","."),"-",",")</f>
        <v>3.861.664,21</v>
      </c>
      <c r="K1040" s="2"/>
    </row>
    <row r="1041" spans="1:11" ht="63" x14ac:dyDescent="0.25">
      <c r="A1041" s="1" t="str">
        <f>"304/2013"</f>
        <v>304/2013</v>
      </c>
      <c r="B1041" s="1" t="s">
        <v>14</v>
      </c>
      <c r="C1041" s="1" t="s">
        <v>2311</v>
      </c>
      <c r="D1041" s="1" t="str">
        <f>CONCATENATE("1182-2013-EMV",CHAR(10),"2013/S 002-0035826 od 17.04.2013.")</f>
        <v>1182-2013-EMV
2013/S 002-0035826 od 17.04.2013.</v>
      </c>
      <c r="E1041" s="1" t="s">
        <v>15</v>
      </c>
      <c r="F1041" s="1" t="str">
        <f>"165.637,50"</f>
        <v>165.637,50</v>
      </c>
      <c r="G1041" s="1" t="str">
        <f>CONCATENATE("10.07.2013.",CHAR(10),"2 mjeseca")</f>
        <v>10.07.2013.
2 mjeseca</v>
      </c>
      <c r="H1041" s="1" t="str">
        <f>CONCATENATE("ŠANDRK PROJEKT D.O.O., DUGO SELO",CHAR(10),"GIM GRAĐENJE D.O.O., ZAGREB",CHAR(10),"REPER PLUS D.O.O., ZAGREB")</f>
        <v>ŠANDRK PROJEKT D.O.O., DUGO SELO
GIM GRAĐENJE D.O.O., ZAGREB
REPER PLUS D.O.O., ZAGREB</v>
      </c>
      <c r="I1041" s="2"/>
      <c r="J1041" s="1"/>
      <c r="K1041" s="2"/>
    </row>
    <row r="1042" spans="1:11" ht="110.25" x14ac:dyDescent="0.25">
      <c r="A1042" s="1" t="str">
        <f>"305/2013"</f>
        <v>305/2013</v>
      </c>
      <c r="B1042" s="1" t="s">
        <v>14</v>
      </c>
      <c r="C1042" s="1" t="s">
        <v>2312</v>
      </c>
      <c r="D1042" s="1" t="str">
        <f>CONCATENATE("1411-2013-EMV",CHAR(10),"2013/S 002-0033531 od 11.04.2013.")</f>
        <v>1411-2013-EMV
2013/S 002-0033531 od 11.04.2013.</v>
      </c>
      <c r="E1042" s="1" t="s">
        <v>15</v>
      </c>
      <c r="F1042" s="1" t="str">
        <f>"71.400,00"</f>
        <v>71.400,00</v>
      </c>
      <c r="G1042" s="1" t="str">
        <f>CONCATENATE("10.07.2013.",CHAR(10),"2 mjeseca")</f>
        <v>10.07.2013.
2 mjeseca</v>
      </c>
      <c r="H1042" s="1" t="str">
        <f>CONCATENATE("PGT ŠKUNCA D.O.O., ZAGREB-SUSEDGRAD",CHAR(10),"BAU-PROJEKT D.O.O., JASTREBARSKO",CHAR(10),"OIKON D.O.O., ZAGREB",CHAR(10),"URED OVLAŠTENOG KRAJOBRAZNOG ARHITEKTA -ROBERT DUIĆ, ZAGREB",CHAR(10),"GEODATA PROJEKT D.O.O., ZAGREB")</f>
        <v>PGT ŠKUNCA D.O.O., ZAGREB-SUSEDGRAD
BAU-PROJEKT D.O.O., JASTREBARSKO
OIKON D.O.O., ZAGREB
URED OVLAŠTENOG KRAJOBRAZNOG ARHITEKTA -ROBERT DUIĆ, ZAGREB
GEODATA PROJEKT D.O.O., ZAGREB</v>
      </c>
      <c r="I1042" s="2"/>
      <c r="J1042" s="1"/>
      <c r="K1042" s="2"/>
    </row>
    <row r="1043" spans="1:11" ht="63" x14ac:dyDescent="0.25">
      <c r="A1043" s="1" t="str">
        <f>"306/2013"</f>
        <v>306/2013</v>
      </c>
      <c r="B1043" s="1" t="s">
        <v>14</v>
      </c>
      <c r="C1043" s="1" t="s">
        <v>2313</v>
      </c>
      <c r="D1043" s="1" t="str">
        <f>CONCATENATE("1095-2013-EMV",CHAR(10),"2013/S 002-0033827 od 11.04.2013.")</f>
        <v>1095-2013-EMV
2013/S 002-0033827 od 11.04.2013.</v>
      </c>
      <c r="E1043" s="1" t="s">
        <v>15</v>
      </c>
      <c r="F1043" s="1" t="str">
        <f>"107.500,00"</f>
        <v>107.500,00</v>
      </c>
      <c r="G1043" s="1" t="str">
        <f>CONCATENATE("10.07.2013.",CHAR(10),"Tijekom cijelog perioda izvođenja radova i opremanja objekta")</f>
        <v>10.07.2013.
Tijekom cijelog perioda izvođenja radova i opremanja objekta</v>
      </c>
      <c r="H1043" s="1" t="str">
        <f>CONCATENATE("IVNE GRAĐEVINA D.O.O., ZAGREB",CHAR(10),"ELVEKO D.O.O., ZAGREB",CHAR(10),"SOLARVENT D.O.O., ZAGREB",CHAR(10),"ADG D.O.O., ZAGREB")</f>
        <v>IVNE GRAĐEVINA D.O.O., ZAGREB
ELVEKO D.O.O., ZAGREB
SOLARVENT D.O.O., ZAGREB
ADG D.O.O., ZAGREB</v>
      </c>
      <c r="I1043" s="2"/>
      <c r="J1043" s="1"/>
      <c r="K1043" s="2"/>
    </row>
    <row r="1044" spans="1:11" ht="47.25" x14ac:dyDescent="0.25">
      <c r="A1044" s="1" t="str">
        <f>"307/2013"</f>
        <v>307/2013</v>
      </c>
      <c r="B1044" s="1" t="s">
        <v>14</v>
      </c>
      <c r="C1044" s="1" t="s">
        <v>770</v>
      </c>
      <c r="D1044" s="1" t="str">
        <f>CONCATENATE("1183-2013-EMV",CHAR(10),"2013/S 002-0029476 od 29.03.2013.")</f>
        <v>1183-2013-EMV
2013/S 002-0029476 od 29.03.2013.</v>
      </c>
      <c r="E1044" s="1" t="s">
        <v>15</v>
      </c>
      <c r="F1044" s="1" t="str">
        <f>"259.400,00"</f>
        <v>259.400,00</v>
      </c>
      <c r="G1044" s="1" t="str">
        <f>CONCATENATE("10.07.2013.",CHAR(10),"12 mjeseci")</f>
        <v>10.07.2013.
12 mjeseci</v>
      </c>
      <c r="H1044" s="1" t="str">
        <f>CONCATENATE("MONTEL D.O.O., ZAGREB")</f>
        <v>MONTEL D.O.O., ZAGREB</v>
      </c>
      <c r="I1044" s="1" t="s">
        <v>333</v>
      </c>
      <c r="J1044" s="1" t="str">
        <f>SUBSTITUTE(SUBSTITUTE(SUBSTITUTE("313,312.50",".","-"),",","."),"-",",")</f>
        <v>313.312,50</v>
      </c>
      <c r="K1044" s="2"/>
    </row>
    <row r="1045" spans="1:11" ht="47.25" x14ac:dyDescent="0.25">
      <c r="A1045" s="1" t="str">
        <f>"308/2013"</f>
        <v>308/2013</v>
      </c>
      <c r="B1045" s="1" t="s">
        <v>14</v>
      </c>
      <c r="C1045" s="1" t="s">
        <v>2314</v>
      </c>
      <c r="D1045" s="1" t="str">
        <f>CONCATENATE("1700-2013-EMV",CHAR(10),"2013/S 002-0045814 od 20.05.2013.")</f>
        <v>1700-2013-EMV
2013/S 002-0045814 od 20.05.2013.</v>
      </c>
      <c r="E1045" s="1" t="s">
        <v>15</v>
      </c>
      <c r="F1045" s="1" t="str">
        <f>"87.000,00"</f>
        <v>87.000,00</v>
      </c>
      <c r="G1045" s="1" t="str">
        <f>CONCATENATE("12.07.2013.",CHAR(10),"Tijekom cijelog perioda izvođenja radova i opremanja")</f>
        <v>12.07.2013.
Tijekom cijelog perioda izvođenja radova i opremanja</v>
      </c>
      <c r="H1045" s="1" t="str">
        <f>CONCATENATE("NERING PROJEKT D.O.O., ZAGREB",CHAR(10),"PARTNER GRADNJA D.O.O., SESVETE",CHAR(10),"GEOANDA D.O.O., ZAGREB")</f>
        <v>NERING PROJEKT D.O.O., ZAGREB
PARTNER GRADNJA D.O.O., SESVETE
GEOANDA D.O.O., ZAGREB</v>
      </c>
      <c r="I1045" s="2"/>
      <c r="J1045" s="1"/>
      <c r="K1045" s="2"/>
    </row>
    <row r="1046" spans="1:11" ht="110.25" x14ac:dyDescent="0.25">
      <c r="A1046" s="1" t="str">
        <f>"309/2013"</f>
        <v>309/2013</v>
      </c>
      <c r="B1046" s="1" t="s">
        <v>14</v>
      </c>
      <c r="C1046" s="1" t="s">
        <v>2315</v>
      </c>
      <c r="D1046" s="1" t="str">
        <f>CONCATENATE("1667-2013-EMV",CHAR(10),"2013/S 002-0032167 od 08.04.2013, isp. 2013/S 014-0038505 od 25.04.2013, isp. 2013/S 014-0040667 od 03.05.2013.")</f>
        <v>1667-2013-EMV
2013/S 002-0032167 od 08.04.2013, isp. 2013/S 014-0038505 od 25.04.2013, isp. 2013/S 014-0040667 od 03.05.2013.</v>
      </c>
      <c r="E1046" s="1" t="s">
        <v>15</v>
      </c>
      <c r="F1046" s="1" t="str">
        <f>"3.402.615,05"</f>
        <v>3.402.615,05</v>
      </c>
      <c r="G1046" s="1" t="str">
        <f>CONCATENATE("15.07.2013.",CHAR(10),"3 mjeseca")</f>
        <v>15.07.2013.
3 mjeseca</v>
      </c>
      <c r="H1046" s="1" t="str">
        <f>CONCATENATE("VODOTEHNIKA D.D., ZAGREB",CHAR(10),"GNP TERMOMONT D.O.O., ZAGREB",CHAR(10),"SOKOL D.O.O., VINKOVCI")</f>
        <v>VODOTEHNIKA D.D., ZAGREB
GNP TERMOMONT D.O.O., ZAGREB
SOKOL D.O.O., VINKOVCI</v>
      </c>
      <c r="I1046" s="2"/>
      <c r="J1046" s="1"/>
      <c r="K1046" s="2"/>
    </row>
    <row r="1047" spans="1:11" ht="47.25" x14ac:dyDescent="0.25">
      <c r="A1047" s="1" t="str">
        <f>"310/2013"</f>
        <v>310/2013</v>
      </c>
      <c r="B1047" s="1" t="s">
        <v>14</v>
      </c>
      <c r="C1047" s="1" t="s">
        <v>2316</v>
      </c>
      <c r="D1047" s="1" t="str">
        <f>CONCATENATE("517-2013-EMV",CHAR(10),"2013/S 002-0032813 od 09.04.2013.")</f>
        <v>517-2013-EMV
2013/S 002-0032813 od 09.04.2013.</v>
      </c>
      <c r="E1047" s="1" t="s">
        <v>15</v>
      </c>
      <c r="F1047" s="1" t="str">
        <f>"1.573.123,00"</f>
        <v>1.573.123,00</v>
      </c>
      <c r="G1047" s="1" t="str">
        <f>CONCATENATE("15.07.2013.",CHAR(10),"90 dana")</f>
        <v>15.07.2013.
90 dana</v>
      </c>
      <c r="H1047" s="1" t="str">
        <f>CONCATENATE("PROSPERITAS GRADNJA D.O.O., VRBOVEC")</f>
        <v>PROSPERITAS GRADNJA D.O.O., VRBOVEC</v>
      </c>
      <c r="I1047" s="1" t="s">
        <v>411</v>
      </c>
      <c r="J1047" s="1" t="str">
        <f>SUBSTITUTE(SUBSTITUTE(SUBSTITUTE("1,923,666.60",".","-"),",","."),"-",",")</f>
        <v>1.923.666,60</v>
      </c>
      <c r="K1047" s="2"/>
    </row>
    <row r="1048" spans="1:11" ht="47.25" x14ac:dyDescent="0.25">
      <c r="A1048" s="1" t="str">
        <f>"311/2013"</f>
        <v>311/2013</v>
      </c>
      <c r="B1048" s="1" t="s">
        <v>14</v>
      </c>
      <c r="C1048" s="1" t="s">
        <v>2317</v>
      </c>
      <c r="D1048" s="1" t="str">
        <f>CONCATENATE("1400-2013-EMV",CHAR(10),"2013/S-002-0031319 od 04.04.2013.")</f>
        <v>1400-2013-EMV
2013/S-002-0031319 od 04.04.2013.</v>
      </c>
      <c r="E1048" s="1" t="s">
        <v>15</v>
      </c>
      <c r="F1048" s="1" t="str">
        <f>"460.598,00"</f>
        <v>460.598,00</v>
      </c>
      <c r="G1048" s="1" t="str">
        <f>CONCATENATE("15.07.2013.",CHAR(10),"60 dana")</f>
        <v>15.07.2013.
60 dana</v>
      </c>
      <c r="H1048" s="1" t="str">
        <f>CONCATENATE("M. SOLDO D.O.O., ZAGREB",CHAR(10),"GEOGIS D.O.O., ZAGREB",CHAR(10),"CSS D.O.O., ZAGREB")</f>
        <v>M. SOLDO D.O.O., ZAGREB
GEOGIS D.O.O., ZAGREB
CSS D.O.O., ZAGREB</v>
      </c>
      <c r="I1048" s="1" t="s">
        <v>167</v>
      </c>
      <c r="J1048" s="1" t="str">
        <f>SUBSTITUTE(SUBSTITUTE(SUBSTITUTE("572,779.14",".","-"),",","."),"-",",")</f>
        <v>572.779,14</v>
      </c>
      <c r="K1048" s="2"/>
    </row>
    <row r="1049" spans="1:11" ht="78.75" x14ac:dyDescent="0.25">
      <c r="A1049" s="1" t="str">
        <f>"312/2013"</f>
        <v>312/2013</v>
      </c>
      <c r="B1049" s="1" t="s">
        <v>14</v>
      </c>
      <c r="C1049" s="1" t="s">
        <v>2318</v>
      </c>
      <c r="D1049" s="1" t="str">
        <f>CONCATENATE("1690-2013-EMV",CHAR(10),"2013/S 015-0062118 od 09.07.2013.")</f>
        <v>1690-2013-EMV
2013/S 015-0062118 od 09.07.2013.</v>
      </c>
      <c r="E1049" s="1" t="s">
        <v>12</v>
      </c>
      <c r="F1049" s="1" t="str">
        <f>"1.199.981,90"</f>
        <v>1.199.981,90</v>
      </c>
      <c r="G1049" s="1" t="str">
        <f>CONCATENATE("17.07.2013.",CHAR(10),"60 dana")</f>
        <v>17.07.2013.
60 dana</v>
      </c>
      <c r="H1049" s="1" t="str">
        <f>CONCATENATE("VODOPRIVREDA ZAGREB D.D., ZAGREB",CHAR(10),"KNEZ INVEST D.O.O., ZAGREB",CHAR(10),"GEOKON - ZAGREB D.D., ZAGREB",CHAR(10),"KARST D.O.O., ZAGREB")</f>
        <v>VODOPRIVREDA ZAGREB D.D., ZAGREB
KNEZ INVEST D.O.O., ZAGREB
GEOKON - ZAGREB D.D., ZAGREB
KARST D.O.O., ZAGREB</v>
      </c>
      <c r="I1049" s="1" t="s">
        <v>412</v>
      </c>
      <c r="J1049" s="1" t="str">
        <f>SUBSTITUTE(SUBSTITUTE(SUBSTITUTE("1,429,930.01",".","-"),",","."),"-",",")</f>
        <v>1.429.930,01</v>
      </c>
      <c r="K1049" s="2"/>
    </row>
    <row r="1050" spans="1:11" ht="47.25" x14ac:dyDescent="0.25">
      <c r="A1050" s="1" t="str">
        <f>"313/2013"</f>
        <v>313/2013</v>
      </c>
      <c r="B1050" s="1" t="s">
        <v>14</v>
      </c>
      <c r="C1050" s="1" t="s">
        <v>2319</v>
      </c>
      <c r="D1050" s="1" t="str">
        <f>CONCATENATE("1686-2013-EMV",CHAR(10),"2013/S 015-0062087 od 10.07.2013.")</f>
        <v>1686-2013-EMV
2013/S 015-0062087 od 10.07.2013.</v>
      </c>
      <c r="E1050" s="1" t="s">
        <v>12</v>
      </c>
      <c r="F1050" s="1" t="str">
        <f>"1.999.730,40"</f>
        <v>1.999.730,40</v>
      </c>
      <c r="G1050" s="1" t="str">
        <f>CONCATENATE("17.07.2013.",CHAR(10),"30 dana")</f>
        <v>17.07.2013.
30 dana</v>
      </c>
      <c r="H1050" s="1" t="str">
        <f>CONCATENATE("VODOPRIVREDA ZAGREB D.D., ZAGREB",CHAR(10),"KNEZ INVEST D.O.O., ZAGREB")</f>
        <v>VODOPRIVREDA ZAGREB D.D., ZAGREB
KNEZ INVEST D.O.O., ZAGREB</v>
      </c>
      <c r="I1050" s="1" t="s">
        <v>299</v>
      </c>
      <c r="J1050" s="1" t="str">
        <f>SUBSTITUTE(SUBSTITUTE(SUBSTITUTE("2,499,124.00",".","-"),",","."),"-",",")</f>
        <v>2.499.124,00</v>
      </c>
      <c r="K1050" s="2"/>
    </row>
    <row r="1051" spans="1:11" ht="47.25" x14ac:dyDescent="0.25">
      <c r="A1051" s="1" t="str">
        <f>"314/2013"</f>
        <v>314/2013</v>
      </c>
      <c r="B1051" s="1" t="s">
        <v>26</v>
      </c>
      <c r="C1051" s="1" t="s">
        <v>413</v>
      </c>
      <c r="D1051" s="1" t="str">
        <f>"391-2012-EMV"</f>
        <v>391-2012-EMV</v>
      </c>
      <c r="E1051" s="2"/>
      <c r="F1051" s="1" t="str">
        <f>"135.517,20"</f>
        <v>135.517,20</v>
      </c>
      <c r="G1051" s="1" t="str">
        <f>CONCATENATE("17.07.2013.",CHAR(10),"1 godina")</f>
        <v>17.07.2013.
1 godina</v>
      </c>
      <c r="H1051" s="1" t="str">
        <f>CONCATENATE("SUNCE OSIGURANJE D.D., ZAGREB")</f>
        <v>SUNCE OSIGURANJE D.D., ZAGREB</v>
      </c>
      <c r="I1051" s="1" t="s">
        <v>315</v>
      </c>
      <c r="J1051" s="1" t="str">
        <f>SUBSTITUTE(SUBSTITUTE(SUBSTITUTE("135,517.20",".","-"),",","."),"-",",")</f>
        <v>135.517,20</v>
      </c>
      <c r="K1051" s="2"/>
    </row>
    <row r="1052" spans="1:11" ht="47.25" x14ac:dyDescent="0.25">
      <c r="A1052" s="1" t="str">
        <f>"315/2013"</f>
        <v>315/2013</v>
      </c>
      <c r="B1052" s="1" t="s">
        <v>14</v>
      </c>
      <c r="C1052" s="1" t="s">
        <v>2320</v>
      </c>
      <c r="D1052" s="1" t="str">
        <f>CONCATENATE("1230-2013-EMV",CHAR(10),"2013/S 002-0020767 od 07.03.2013.")</f>
        <v>1230-2013-EMV
2013/S 002-0020767 od 07.03.2013.</v>
      </c>
      <c r="E1052" s="1" t="s">
        <v>15</v>
      </c>
      <c r="F1052" s="1" t="str">
        <f>"228.833,60"</f>
        <v>228.833,60</v>
      </c>
      <c r="G1052" s="1" t="str">
        <f>CONCATENATE("19.07.2013.",CHAR(10),"30 dana")</f>
        <v>19.07.2013.
30 dana</v>
      </c>
      <c r="H1052" s="1" t="str">
        <f>CONCATENATE("MONTEL D.O.O., ZAGREB",CHAR(10),"MGV D.O.O., ZAGREB")</f>
        <v>MONTEL D.O.O., ZAGREB
MGV D.O.O., ZAGREB</v>
      </c>
      <c r="I1052" s="2"/>
      <c r="J1052" s="1"/>
      <c r="K1052" s="2"/>
    </row>
    <row r="1053" spans="1:11" ht="110.25" x14ac:dyDescent="0.25">
      <c r="A1053" s="1" t="str">
        <f>"316/2013"</f>
        <v>316/2013</v>
      </c>
      <c r="B1053" s="1" t="s">
        <v>14</v>
      </c>
      <c r="C1053" s="1" t="s">
        <v>2321</v>
      </c>
      <c r="D1053" s="1" t="str">
        <f>CONCATENATE("1175-2013-EVV",CHAR(10),"2013/S 002-0020959 od 07.03.2013.")</f>
        <v>1175-2013-EVV
2013/S 002-0020959 od 07.03.2013.</v>
      </c>
      <c r="E1053" s="1" t="s">
        <v>15</v>
      </c>
      <c r="F1053" s="1" t="str">
        <f>"1.448.200,00"</f>
        <v>1.448.200,00</v>
      </c>
      <c r="G1053" s="1" t="str">
        <f>CONCATENATE("19.07.2013.",CHAR(10),"1 godina")</f>
        <v>19.07.2013.
1 godina</v>
      </c>
      <c r="H1053" s="1" t="str">
        <f>CONCATENATE("GEOKON - ZAGREB D.D., ZAGREB",CHAR(10),"OIKON D.O.O., ZAGREB",CHAR(10),"PROJEKTNI BIRO NAGLIĆ D.O.O., ZAGREB",CHAR(10),"REPER PLUS D.O.O., ZAGREB",CHAR(10),"KONSTRUKCIJE KOSTELAC D.O.O., RAKOV POTOK")</f>
        <v>GEOKON - ZAGREB D.D., ZAGREB
OIKON D.O.O., ZAGREB
PROJEKTNI BIRO NAGLIĆ D.O.O., ZAGREB
REPER PLUS D.O.O., ZAGREB
KONSTRUKCIJE KOSTELAC D.O.O., RAKOV POTOK</v>
      </c>
      <c r="I1053" s="2"/>
      <c r="J1053" s="1"/>
      <c r="K1053" s="2"/>
    </row>
    <row r="1054" spans="1:11" ht="47.25" x14ac:dyDescent="0.25">
      <c r="A1054" s="1" t="str">
        <f>"317/2013"</f>
        <v>317/2013</v>
      </c>
      <c r="B1054" s="1" t="s">
        <v>14</v>
      </c>
      <c r="C1054" s="1" t="s">
        <v>2322</v>
      </c>
      <c r="D1054" s="1" t="str">
        <f>CONCATENATE("1625-2013-EMV",CHAR(10),"2013/S 002-0032862 od 09.04.2013.")</f>
        <v>1625-2013-EMV
2013/S 002-0032862 od 09.04.2013.</v>
      </c>
      <c r="E1054" s="1" t="s">
        <v>15</v>
      </c>
      <c r="F1054" s="1" t="str">
        <f>"217.024,00"</f>
        <v>217.024,00</v>
      </c>
      <c r="G1054" s="1" t="str">
        <f>CONCATENATE("22.07.2013.",CHAR(10),"1 godina")</f>
        <v>22.07.2013.
1 godina</v>
      </c>
      <c r="H1054" s="1" t="str">
        <f>CONCATENATE("STEGA TISAK D.O.O, ZAGREB")</f>
        <v>STEGA TISAK D.O.O, ZAGREB</v>
      </c>
      <c r="I1054" s="1" t="s">
        <v>414</v>
      </c>
      <c r="J1054" s="1" t="str">
        <f>SUBSTITUTE(SUBSTITUTE(SUBSTITUTE("151,817.05",".","-"),",","."),"-",",")</f>
        <v>151.817,05</v>
      </c>
      <c r="K1054" s="2"/>
    </row>
    <row r="1055" spans="1:11" ht="47.25" x14ac:dyDescent="0.25">
      <c r="A1055" s="1" t="str">
        <f>"318/2013"</f>
        <v>318/2013</v>
      </c>
      <c r="B1055" s="1" t="s">
        <v>14</v>
      </c>
      <c r="C1055" s="1" t="s">
        <v>2323</v>
      </c>
      <c r="D1055" s="1" t="str">
        <f>CONCATENATE("1699-2013-EMV",CHAR(10),"2013/S 002-0045883 od 20.05.2013.")</f>
        <v>1699-2013-EMV
2013/S 002-0045883 od 20.05.2013.</v>
      </c>
      <c r="E1055" s="1" t="s">
        <v>15</v>
      </c>
      <c r="F1055" s="1" t="str">
        <f>"133.100,00"</f>
        <v>133.100,00</v>
      </c>
      <c r="G1055" s="1" t="str">
        <f>CONCATENATE("22.07.2013.",CHAR(10),"6 mjeseci")</f>
        <v>22.07.2013.
6 mjeseci</v>
      </c>
      <c r="H1055" s="1" t="str">
        <f>CONCATENATE("CSS D.O.O., ZAGREB",CHAR(10),"SAFEGE D.O.O., ZAGREB")</f>
        <v>CSS D.O.O., ZAGREB
SAFEGE D.O.O., ZAGREB</v>
      </c>
      <c r="I1055" s="2"/>
      <c r="J1055" s="1"/>
      <c r="K1055" s="2"/>
    </row>
    <row r="1056" spans="1:11" ht="63" x14ac:dyDescent="0.25">
      <c r="A1056" s="1" t="str">
        <f>"319/2013"</f>
        <v>319/2013</v>
      </c>
      <c r="B1056" s="1" t="s">
        <v>14</v>
      </c>
      <c r="C1056" s="1" t="s">
        <v>2324</v>
      </c>
      <c r="D1056" s="1" t="str">
        <f>CONCATENATE("1115-2013-EMV",CHAR(10),"2013/S 002-0030792 od 02.04.2013.")</f>
        <v>1115-2013-EMV
2013/S 002-0030792 od 02.04.2013.</v>
      </c>
      <c r="E1056" s="1" t="s">
        <v>15</v>
      </c>
      <c r="F1056" s="1" t="str">
        <f>"1.918.319,68"</f>
        <v>1.918.319,68</v>
      </c>
      <c r="G1056" s="1" t="str">
        <f>CONCATENATE("22.07.2013.",CHAR(10),"6 mjeseci")</f>
        <v>22.07.2013.
6 mjeseci</v>
      </c>
      <c r="H1056" s="1" t="str">
        <f>CONCATENATE("HEDOM D.O.O., ZAGREB",CHAR(10),"EIT-ELEKTROINSTALACIJSKA TEHNIKA D.O.O., ZAGREB",CHAR(10),"ENERGOHERC D.O.O., ZAGREB")</f>
        <v>HEDOM D.O.O., ZAGREB
EIT-ELEKTROINSTALACIJSKA TEHNIKA D.O.O., ZAGREB
ENERGOHERC D.O.O., ZAGREB</v>
      </c>
      <c r="I1056" s="2"/>
      <c r="J1056" s="1"/>
      <c r="K1056" s="2"/>
    </row>
    <row r="1057" spans="1:11" ht="47.25" x14ac:dyDescent="0.25">
      <c r="A1057" s="1" t="str">
        <f>"A-70/2013"</f>
        <v>A-70/2013</v>
      </c>
      <c r="B1057" s="1" t="s">
        <v>11</v>
      </c>
      <c r="C1057" s="1" t="s">
        <v>2325</v>
      </c>
      <c r="D1057" s="1" t="str">
        <f>"2765-2012-EMV"</f>
        <v>2765-2012-EMV</v>
      </c>
      <c r="E1057" s="2"/>
      <c r="F1057" s="1" t="str">
        <f>"0,00"</f>
        <v>0,00</v>
      </c>
      <c r="G1057" s="1" t="str">
        <f>CONCATENATE("22.07.2013.",CHAR(10),"31.07.2013.")</f>
        <v>22.07.2013.
31.07.2013.</v>
      </c>
      <c r="H1057" s="1" t="str">
        <f>CONCATENATE("HEDOM D.O.O., ZAGREB",CHAR(10),"ITS-CONSULTING D.O.O., ZAGREB",CHAR(10),"MC ČIŠĆENJE D.O.O., SISAK")</f>
        <v>HEDOM D.O.O., ZAGREB
ITS-CONSULTING D.O.O., ZAGREB
MC ČIŠĆENJE D.O.O., SISAK</v>
      </c>
      <c r="I1057" s="2"/>
      <c r="J1057" s="1"/>
      <c r="K1057" s="2"/>
    </row>
    <row r="1058" spans="1:11" ht="47.25" x14ac:dyDescent="0.25">
      <c r="A1058" s="1" t="str">
        <f>"320/2013"</f>
        <v>320/2013</v>
      </c>
      <c r="B1058" s="1" t="s">
        <v>14</v>
      </c>
      <c r="C1058" s="1" t="s">
        <v>2326</v>
      </c>
      <c r="D1058" s="1" t="str">
        <f>CONCATENATE("1578-2013-EMV",CHAR(10),"2013/S 002-0042452 od 09.05.2013.")</f>
        <v>1578-2013-EMV
2013/S 002-0042452 od 09.05.2013.</v>
      </c>
      <c r="E1058" s="1" t="s">
        <v>15</v>
      </c>
      <c r="F1058" s="1" t="str">
        <f>"207.900,00"</f>
        <v>207.900,00</v>
      </c>
      <c r="G1058" s="1" t="str">
        <f>CONCATENATE("22.07.2013.",CHAR(10),"15 dana")</f>
        <v>22.07.2013.
15 dana</v>
      </c>
      <c r="H1058" s="1" t="str">
        <f>CONCATENATE("INTERGRAFIKA-TTŽ D.O.O., ZAGREB")</f>
        <v>INTERGRAFIKA-TTŽ D.O.O., ZAGREB</v>
      </c>
      <c r="I1058" s="1" t="s">
        <v>276</v>
      </c>
      <c r="J1058" s="1" t="str">
        <f>SUBSTITUTE(SUBSTITUTE(SUBSTITUTE("259,875.00",".","-"),",","."),"-",",")</f>
        <v>259.875,00</v>
      </c>
      <c r="K1058" s="2"/>
    </row>
    <row r="1059" spans="1:11" ht="47.25" x14ac:dyDescent="0.25">
      <c r="A1059" s="1" t="str">
        <f>"321/2013"</f>
        <v>321/2013</v>
      </c>
      <c r="B1059" s="1" t="s">
        <v>14</v>
      </c>
      <c r="C1059" s="1" t="s">
        <v>2327</v>
      </c>
      <c r="D1059" s="1" t="str">
        <f>CONCATENATE("523-2013-EMV",CHAR(10),"2013/S 002-0036677 od 19.04.2013.")</f>
        <v>523-2013-EMV
2013/S 002-0036677 od 19.04.2013.</v>
      </c>
      <c r="E1059" s="1" t="s">
        <v>15</v>
      </c>
      <c r="F1059" s="1" t="str">
        <f>"183.555,42"</f>
        <v>183.555,42</v>
      </c>
      <c r="G1059" s="1" t="str">
        <f>CONCATENATE("22.07.2013.",CHAR(10),"30 dana")</f>
        <v>22.07.2013.
30 dana</v>
      </c>
      <c r="H1059" s="1" t="str">
        <f>CONCATENATE("RANUS D.O.O., ZAGREB",CHAR(10),"C.I.A.K. D.O.O., ZAGREB")</f>
        <v>RANUS D.O.O., ZAGREB
C.I.A.K. D.O.O., ZAGREB</v>
      </c>
      <c r="I1059" s="1" t="s">
        <v>324</v>
      </c>
      <c r="J1059" s="1" t="str">
        <f>SUBSTITUTE(SUBSTITUTE(SUBSTITUTE("229,431.63",".","-"),",","."),"-",",")</f>
        <v>229.431,63</v>
      </c>
      <c r="K1059" s="2"/>
    </row>
    <row r="1060" spans="1:11" ht="47.25" x14ac:dyDescent="0.25">
      <c r="A1060" s="1" t="str">
        <f>"A-71/2013"</f>
        <v>A-71/2013</v>
      </c>
      <c r="B1060" s="1" t="s">
        <v>11</v>
      </c>
      <c r="C1060" s="1" t="s">
        <v>415</v>
      </c>
      <c r="D1060" s="1" t="str">
        <f>"1089-2012-EMV"</f>
        <v>1089-2012-EMV</v>
      </c>
      <c r="E1060" s="2"/>
      <c r="F1060" s="1" t="str">
        <f>"0,00"</f>
        <v>0,00</v>
      </c>
      <c r="G1060" s="1" t="str">
        <f>CONCATENATE("22.07.2013.",CHAR(10),"10 mjeseci")</f>
        <v>22.07.2013.
10 mjeseci</v>
      </c>
      <c r="H1060" s="1" t="str">
        <f>CONCATENATE("TIMECO D.O.O., ZAGREB")</f>
        <v>TIMECO D.O.O., ZAGREB</v>
      </c>
      <c r="I1060" s="2"/>
      <c r="J1060" s="1"/>
      <c r="K1060" s="2"/>
    </row>
    <row r="1061" spans="1:11" ht="47.25" x14ac:dyDescent="0.25">
      <c r="A1061" s="1" t="str">
        <f>"322/2013"</f>
        <v>322/2013</v>
      </c>
      <c r="B1061" s="1" t="s">
        <v>14</v>
      </c>
      <c r="C1061" s="1" t="s">
        <v>2328</v>
      </c>
      <c r="D1061" s="1" t="str">
        <f>CONCATENATE("1694-2013-EVV",CHAR(10),"2013/S 002-0041060 od 03.05.2013.")</f>
        <v>1694-2013-EVV
2013/S 002-0041060 od 03.05.2013.</v>
      </c>
      <c r="E1061" s="1" t="s">
        <v>15</v>
      </c>
      <c r="F1061" s="1" t="str">
        <f>"2.646.843,00"</f>
        <v>2.646.843,00</v>
      </c>
      <c r="G1061" s="1" t="str">
        <f>CONCATENATE("22.07.2013.",CHAR(10),"do dana izdavanja rješenja o izvedenom stanju")</f>
        <v>22.07.2013.
do dana izdavanja rješenja o izvedenom stanju</v>
      </c>
      <c r="H1061" s="1" t="str">
        <f>CONCATENATE("KONZALT ING D.O.O., ZAGREB",CHAR(10),"GRAD-Z PLAN D.O.O., ZAGREB")</f>
        <v>KONZALT ING D.O.O., ZAGREB
GRAD-Z PLAN D.O.O., ZAGREB</v>
      </c>
      <c r="I1061" s="2"/>
      <c r="J1061" s="1"/>
      <c r="K1061" s="2"/>
    </row>
    <row r="1062" spans="1:11" ht="47.25" x14ac:dyDescent="0.25">
      <c r="A1062" s="1" t="str">
        <f>"323/2013"</f>
        <v>323/2013</v>
      </c>
      <c r="B1062" s="1" t="s">
        <v>14</v>
      </c>
      <c r="C1062" s="1" t="s">
        <v>2329</v>
      </c>
      <c r="D1062" s="1" t="str">
        <f>CONCATENATE("7-2013-EMV",CHAR(10),"2013/S 015-0061346 od 09.07.2013.")</f>
        <v>7-2013-EMV
2013/S 015-0061346 od 09.07.2013.</v>
      </c>
      <c r="E1062" s="1" t="s">
        <v>40</v>
      </c>
      <c r="F1062" s="1" t="str">
        <f>"65.400,00"</f>
        <v>65.400,00</v>
      </c>
      <c r="G1062" s="1" t="str">
        <f>CONCATENATE("23.07.2013.",CHAR(10),"do konačnog izvršenja usluge navedene u troškovniku")</f>
        <v>23.07.2013.
do konačnog izvršenja usluge navedene u troškovniku</v>
      </c>
      <c r="H1062" s="1" t="str">
        <f>CONCATENATE("INTERPRETA USLUGE D.O.O., ZAGREB")</f>
        <v>INTERPRETA USLUGE D.O.O., ZAGREB</v>
      </c>
      <c r="I1062" s="2"/>
      <c r="J1062" s="1"/>
      <c r="K1062" s="2"/>
    </row>
    <row r="1063" spans="1:11" ht="63" x14ac:dyDescent="0.25">
      <c r="A1063" s="1" t="str">
        <f>"324/2013"</f>
        <v>324/2013</v>
      </c>
      <c r="B1063" s="1" t="s">
        <v>14</v>
      </c>
      <c r="C1063" s="1" t="s">
        <v>2330</v>
      </c>
      <c r="D1063" s="1" t="str">
        <f>CONCATENATE("7-2013-EMV",CHAR(10),"2013/S 015-0061346 od 09.07.2013.")</f>
        <v>7-2013-EMV
2013/S 015-0061346 od 09.07.2013.</v>
      </c>
      <c r="E1063" s="1" t="s">
        <v>40</v>
      </c>
      <c r="F1063" s="1" t="str">
        <f>"158.400,00"</f>
        <v>158.400,00</v>
      </c>
      <c r="G1063" s="1" t="str">
        <f>CONCATENATE("23.07.2013.",CHAR(10),"do konačnog izvršenja usluge (sukcesivno prema potrebama naručitelja)")</f>
        <v>23.07.2013.
do konačnog izvršenja usluge (sukcesivno prema potrebama naručitelja)</v>
      </c>
      <c r="H1063" s="1" t="str">
        <f>CONCATENATE("GLOBAL LINK D.O.O., ZAGREB")</f>
        <v>GLOBAL LINK D.O.O., ZAGREB</v>
      </c>
      <c r="I1063" s="2"/>
      <c r="J1063" s="1"/>
      <c r="K1063" s="2"/>
    </row>
    <row r="1064" spans="1:11" ht="47.25" x14ac:dyDescent="0.25">
      <c r="A1064" s="1" t="str">
        <f>"325/2013"</f>
        <v>325/2013</v>
      </c>
      <c r="B1064" s="1" t="s">
        <v>14</v>
      </c>
      <c r="C1064" s="1" t="s">
        <v>2331</v>
      </c>
      <c r="D1064" s="1" t="str">
        <f>CONCATENATE("1311-2013-EMV",CHAR(10),"2013/S 002-0021977 od 11.03.2013.")</f>
        <v>1311-2013-EMV
2013/S 002-0021977 od 11.03.2013.</v>
      </c>
      <c r="E1064" s="1" t="s">
        <v>15</v>
      </c>
      <c r="F1064" s="1" t="str">
        <f>"27.000,00"</f>
        <v>27.000,00</v>
      </c>
      <c r="G1064" s="1" t="str">
        <f>CONCATENATE("23.07.2013.",CHAR(10),"Prema rokovima i dinamici izvođenja radova")</f>
        <v>23.07.2013.
Prema rokovima i dinamici izvođenja radova</v>
      </c>
      <c r="H1064" s="1" t="str">
        <f>CONCATENATE("NERING PROJEKT D.O.O., ZAGREB",CHAR(10),"PARTNER GRADNJA D.O.O., SESVETE")</f>
        <v>NERING PROJEKT D.O.O., ZAGREB
PARTNER GRADNJA D.O.O., SESVETE</v>
      </c>
      <c r="I1064" s="2"/>
      <c r="J1064" s="1"/>
      <c r="K1064" s="2"/>
    </row>
    <row r="1065" spans="1:11" ht="47.25" x14ac:dyDescent="0.25">
      <c r="A1065" s="1" t="str">
        <f>"326/2013"</f>
        <v>326/2013</v>
      </c>
      <c r="B1065" s="1" t="s">
        <v>14</v>
      </c>
      <c r="C1065" s="1" t="s">
        <v>2332</v>
      </c>
      <c r="D1065" s="1" t="str">
        <f>CONCATENATE("1304-2013-EMV",CHAR(10),"2013/S 002-0036948 od 22.04.2013.")</f>
        <v>1304-2013-EMV
2013/S 002-0036948 od 22.04.2013.</v>
      </c>
      <c r="E1065" s="1" t="s">
        <v>15</v>
      </c>
      <c r="F1065" s="1" t="str">
        <f>"179.880,00"</f>
        <v>179.880,00</v>
      </c>
      <c r="G1065" s="1" t="str">
        <f>CONCATENATE("24.07.2013.",CHAR(10),"30 dana")</f>
        <v>24.07.2013.
30 dana</v>
      </c>
      <c r="H1065" s="1" t="str">
        <f>CONCATENATE("SIGNALGRAD D.O.O., BESTOVJE")</f>
        <v>SIGNALGRAD D.O.O., BESTOVJE</v>
      </c>
      <c r="I1065" s="2"/>
      <c r="J1065" s="1"/>
      <c r="K1065" s="2"/>
    </row>
    <row r="1066" spans="1:11" ht="78.75" x14ac:dyDescent="0.25">
      <c r="A1066" s="1" t="str">
        <f>"A-72/2013"</f>
        <v>A-72/2013</v>
      </c>
      <c r="B1066" s="1" t="s">
        <v>11</v>
      </c>
      <c r="C1066" s="1" t="s">
        <v>2333</v>
      </c>
      <c r="D1066" s="1" t="str">
        <f>"439-2012-EMV"</f>
        <v>439-2012-EMV</v>
      </c>
      <c r="E1066" s="2"/>
      <c r="F1066" s="1" t="str">
        <f>"0,00"</f>
        <v>0,00</v>
      </c>
      <c r="G1066" s="1" t="str">
        <f>CONCATENATE("24.07.2013.",CHAR(10),"do 31.07.2013")</f>
        <v>24.07.2013.
do 31.07.2013</v>
      </c>
      <c r="H1066" s="1" t="str">
        <f>CONCATENATE("GRADITELJ SVRATIŠTA D.O.O., ZAGREB",CHAR(10),"GEOANDA D.O.O., ZAGREB",CHAR(10),"KANAL INSPEKT D.O.O., ZAGREB",CHAR(10),"ZAGREBINSPEKT D.O.O., ZAGREB")</f>
        <v>GRADITELJ SVRATIŠTA D.O.O., ZAGREB
GEOANDA D.O.O., ZAGREB
KANAL INSPEKT D.O.O., ZAGREB
ZAGREBINSPEKT D.O.O., ZAGREB</v>
      </c>
      <c r="I1066" s="2"/>
      <c r="J1066" s="1"/>
      <c r="K1066" s="2"/>
    </row>
    <row r="1067" spans="1:11" ht="110.25" x14ac:dyDescent="0.25">
      <c r="A1067" s="1" t="str">
        <f>"A-73/2013"</f>
        <v>A-73/2013</v>
      </c>
      <c r="B1067" s="1" t="s">
        <v>11</v>
      </c>
      <c r="C1067" s="1" t="s">
        <v>416</v>
      </c>
      <c r="D1067" s="1" t="str">
        <f>"455-2012-EMV"</f>
        <v>455-2012-EMV</v>
      </c>
      <c r="E1067" s="2"/>
      <c r="F1067" s="1" t="str">
        <f>"0,00"</f>
        <v>0,00</v>
      </c>
      <c r="G1067" s="1" t="str">
        <f>CONCATENATE("24.07.2013.",CHAR(10),"19.08.2013.")</f>
        <v>24.07.2013.
19.08.2013.</v>
      </c>
      <c r="H1067" s="1" t="str">
        <f>CONCATENATE("STUDIO A D.O.O., ZAGREB",CHAR(10),"ELEKTRO EKSPERT D.O.O., ZAGREB",CHAR(10),"S. M. INŽENJERING D.O.O., ZAGREB",CHAR(10),"TENZOR D.O.O., ZAGREB",CHAR(10),"INVESTINŽENJERING D.O.O, ZAGREB",CHAR(10),"INSPEKTING D.O.O., ZAGREB",CHAR(10),"PROSPECTUS D.O.O., ZAGREB")</f>
        <v>STUDIO A D.O.O., ZAGREB
ELEKTRO EKSPERT D.O.O., ZAGREB
S. M. INŽENJERING D.O.O., ZAGREB
TENZOR D.O.O., ZAGREB
INVESTINŽENJERING D.O.O, ZAGREB
INSPEKTING D.O.O., ZAGREB
PROSPECTUS D.O.O., ZAGREB</v>
      </c>
      <c r="I1067" s="2"/>
      <c r="J1067" s="1"/>
      <c r="K1067" s="2"/>
    </row>
    <row r="1068" spans="1:11" ht="47.25" x14ac:dyDescent="0.25">
      <c r="A1068" s="1" t="str">
        <f>"327/2013"</f>
        <v>327/2013</v>
      </c>
      <c r="B1068" s="1" t="s">
        <v>136</v>
      </c>
      <c r="C1068" s="1" t="s">
        <v>2334</v>
      </c>
      <c r="D1068" s="1" t="str">
        <f>CONCATENATE("409-2013-EVV",CHAR(10),"2013/S 002-0018699 od 01.03.2013.")</f>
        <v>409-2013-EVV
2013/S 002-0018699 od 01.03.2013.</v>
      </c>
      <c r="E1068" s="1" t="s">
        <v>15</v>
      </c>
      <c r="F1068" s="1" t="str">
        <f>"8.835.777,41"</f>
        <v>8.835.777,41</v>
      </c>
      <c r="G1068" s="1" t="str">
        <f>CONCATENATE("24.07.2013.",CHAR(10),"2 godine")</f>
        <v>24.07.2013.
2 godine</v>
      </c>
      <c r="H1068" s="1" t="str">
        <f>CONCATENATE("GRADSKA PLINARA ZAGREB D.O.O., ZAGREB")</f>
        <v>GRADSKA PLINARA ZAGREB D.O.O., ZAGREB</v>
      </c>
      <c r="I1068" s="2"/>
      <c r="J1068" s="1"/>
      <c r="K1068" s="2"/>
    </row>
    <row r="1069" spans="1:11" ht="47.25" x14ac:dyDescent="0.25">
      <c r="A1069" s="1" t="str">
        <f>"328/2013"</f>
        <v>328/2013</v>
      </c>
      <c r="B1069" s="1" t="s">
        <v>136</v>
      </c>
      <c r="C1069" s="1" t="s">
        <v>2335</v>
      </c>
      <c r="D1069" s="1" t="str">
        <f>CONCATENATE("192-2013-EMV",CHAR(10),"2013/S 002-0023894 od 15.03.2013.")</f>
        <v>192-2013-EMV
2013/S 002-0023894 od 15.03.2013.</v>
      </c>
      <c r="E1069" s="1" t="s">
        <v>366</v>
      </c>
      <c r="F1069" s="1" t="str">
        <f>"714.880,00"</f>
        <v>714.880,00</v>
      </c>
      <c r="G1069" s="1" t="str">
        <f>CONCATENATE("24.07.2013.",CHAR(10),"2 godine")</f>
        <v>24.07.2013.
2 godine</v>
      </c>
      <c r="H1069" s="1" t="str">
        <f>CONCATENATE("SOBOSLIKARSKI I LIČILAČKI OBRT VL. PAVE VUKELIĆ, DUGO SELO")</f>
        <v>SOBOSLIKARSKI I LIČILAČKI OBRT VL. PAVE VUKELIĆ, DUGO SELO</v>
      </c>
      <c r="I1069" s="2"/>
      <c r="J1069" s="1"/>
      <c r="K1069" s="2"/>
    </row>
    <row r="1070" spans="1:11" ht="63" x14ac:dyDescent="0.25">
      <c r="A1070" s="1" t="str">
        <f>"329/2013"</f>
        <v>329/2013</v>
      </c>
      <c r="B1070" s="1" t="s">
        <v>14</v>
      </c>
      <c r="C1070" s="1" t="s">
        <v>2336</v>
      </c>
      <c r="D1070" s="1" t="str">
        <f>CONCATENATE("743-2012-EMV",CHAR(10),"2012/S 002-0013978 od 25.04.2012.")</f>
        <v>743-2012-EMV
2012/S 002-0013978 od 25.04.2012.</v>
      </c>
      <c r="E1070" s="1" t="s">
        <v>15</v>
      </c>
      <c r="F1070" s="1" t="str">
        <f>"1.094.927,00"</f>
        <v>1.094.927,00</v>
      </c>
      <c r="G1070" s="1" t="str">
        <f>CONCATENATE("24.07.2013.",CHAR(10),"9 mjeseci")</f>
        <v>24.07.2013.
9 mjeseci</v>
      </c>
      <c r="H1070" s="1" t="str">
        <f>CONCATENATE("HM-PATRIA D.O.O., ZAGREB",CHAR(10),"ATIKA OBRT ZA RESTAURIRANJE UMJETNINA I USLUŽNE DJELATNOSTI, ZAGREB")</f>
        <v>HM-PATRIA D.O.O., ZAGREB
ATIKA OBRT ZA RESTAURIRANJE UMJETNINA I USLUŽNE DJELATNOSTI, ZAGREB</v>
      </c>
      <c r="I1070" s="1" t="s">
        <v>417</v>
      </c>
      <c r="J1070" s="1" t="str">
        <f>SUBSTITUTE(SUBSTITUTE(SUBSTITUTE("1,281,094.18",".","-"),",","."),"-",",")</f>
        <v>1.281.094,18</v>
      </c>
      <c r="K1070" s="2"/>
    </row>
    <row r="1071" spans="1:11" ht="47.25" x14ac:dyDescent="0.25">
      <c r="A1071" s="1" t="str">
        <f>"330/2013"</f>
        <v>330/2013</v>
      </c>
      <c r="B1071" s="1" t="s">
        <v>14</v>
      </c>
      <c r="C1071" s="1" t="s">
        <v>2337</v>
      </c>
      <c r="D1071" s="1" t="str">
        <f>"1469-2013-EMV"</f>
        <v>1469-2013-EMV</v>
      </c>
      <c r="E1071" s="1" t="s">
        <v>40</v>
      </c>
      <c r="F1071" s="1" t="str">
        <f>"629.750,00"</f>
        <v>629.750,00</v>
      </c>
      <c r="G1071" s="1" t="str">
        <f>CONCATENATE("25.07.2013.",CHAR(10),"12 mjeseci")</f>
        <v>25.07.2013.
12 mjeseci</v>
      </c>
      <c r="H1071" s="1" t="str">
        <f>CONCATENATE("BILIĆ-ERIĆ D.O.O., SESVETE")</f>
        <v>BILIĆ-ERIĆ D.O.O., SESVETE</v>
      </c>
      <c r="I1071" s="1" t="s">
        <v>288</v>
      </c>
      <c r="J1071" s="1" t="str">
        <f>SUBSTITUTE(SUBSTITUTE(SUBSTITUTE("787,187.50",".","-"),",","."),"-",",")</f>
        <v>787.187,50</v>
      </c>
      <c r="K1071" s="2"/>
    </row>
    <row r="1072" spans="1:11" ht="47.25" x14ac:dyDescent="0.25">
      <c r="A1072" s="1" t="str">
        <f>"331/2013"</f>
        <v>331/2013</v>
      </c>
      <c r="B1072" s="1" t="s">
        <v>14</v>
      </c>
      <c r="C1072" s="1" t="s">
        <v>2338</v>
      </c>
      <c r="D1072" s="1" t="str">
        <f>CONCATENATE("1995-2013-EMV",CHAR(10),"2013/S 002-0047180 od 23.05.2013.")</f>
        <v>1995-2013-EMV
2013/S 002-0047180 od 23.05.2013.</v>
      </c>
      <c r="E1072" s="1" t="s">
        <v>15</v>
      </c>
      <c r="F1072" s="1" t="str">
        <f>"265.550,50"</f>
        <v>265.550,50</v>
      </c>
      <c r="G1072" s="1" t="str">
        <f>CONCATENATE("25.07.2013.",CHAR(10),"12 mjeseci")</f>
        <v>25.07.2013.
12 mjeseci</v>
      </c>
      <c r="H1072" s="1" t="str">
        <f>CONCATENATE("''KINDER'' GRADNJA I USLUGE VL. I. KINDER, SESVETE-KRALJEVEC",CHAR(10),"GEOFORMAT D.O.O., ZAGREB")</f>
        <v>''KINDER'' GRADNJA I USLUGE VL. I. KINDER, SESVETE-KRALJEVEC
GEOFORMAT D.O.O., ZAGREB</v>
      </c>
      <c r="I1072" s="1" t="s">
        <v>365</v>
      </c>
      <c r="J1072" s="1" t="str">
        <f>SUBSTITUTE(SUBSTITUTE(SUBSTITUTE("331,563.13",".","-"),",","."),"-",",")</f>
        <v>331.563,13</v>
      </c>
      <c r="K1072" s="2"/>
    </row>
    <row r="1073" spans="1:11" ht="47.25" x14ac:dyDescent="0.25">
      <c r="A1073" s="1" t="str">
        <f>"332/2013"</f>
        <v>332/2013</v>
      </c>
      <c r="B1073" s="1" t="s">
        <v>14</v>
      </c>
      <c r="C1073" s="1" t="s">
        <v>2339</v>
      </c>
      <c r="D1073" s="1" t="str">
        <f>CONCATENATE("1410-2013-EMV",CHAR(10),"2013/S-002-0028215 od 27.03.2013.")</f>
        <v>1410-2013-EMV
2013/S-002-0028215 od 27.03.2013.</v>
      </c>
      <c r="E1073" s="1" t="s">
        <v>15</v>
      </c>
      <c r="F1073" s="1" t="str">
        <f>"79.970,00"</f>
        <v>79.970,00</v>
      </c>
      <c r="G1073" s="1" t="str">
        <f>CONCATENATE("26.07.2013.",CHAR(10),"2 mjeseca")</f>
        <v>26.07.2013.
2 mjeseca</v>
      </c>
      <c r="H1073" s="1" t="str">
        <f>CONCATENATE("PROMPT D.O.O., ZAGREB",CHAR(10),"PROPORTIO D.O.O., ZAGREB",CHAR(10),"GEODETIKA D.O.O., ZAGREB")</f>
        <v>PROMPT D.O.O., ZAGREB
PROPORTIO D.O.O., ZAGREB
GEODETIKA D.O.O., ZAGREB</v>
      </c>
      <c r="I1073" s="2"/>
      <c r="J1073" s="1"/>
      <c r="K1073" s="2"/>
    </row>
    <row r="1074" spans="1:11" ht="47.25" x14ac:dyDescent="0.25">
      <c r="A1074" s="1" t="str">
        <f>"333/2013"</f>
        <v>333/2013</v>
      </c>
      <c r="B1074" s="1" t="s">
        <v>14</v>
      </c>
      <c r="C1074" s="1" t="s">
        <v>988</v>
      </c>
      <c r="D1074" s="1" t="str">
        <f>CONCATENATE("243-2013-EVV",CHAR(10),"2013/S 002-0038790 od 26.04.2013.")</f>
        <v>243-2013-EVV
2013/S 002-0038790 od 26.04.2013.</v>
      </c>
      <c r="E1074" s="1" t="s">
        <v>15</v>
      </c>
      <c r="F1074" s="1" t="str">
        <f>"2.331.398,52"</f>
        <v>2.331.398,52</v>
      </c>
      <c r="G1074" s="1" t="str">
        <f>CONCATENATE("26.07.2013.",CHAR(10),"12 mjeseci")</f>
        <v>26.07.2013.
12 mjeseci</v>
      </c>
      <c r="H1074" s="1" t="str">
        <f>CONCATENATE("KING ICT D.O.O., ZAGREB")</f>
        <v>KING ICT D.O.O., ZAGREB</v>
      </c>
      <c r="I1074" s="1" t="s">
        <v>418</v>
      </c>
      <c r="J1074" s="1" t="str">
        <f>SUBSTITUTE(SUBSTITUTE(SUBSTITUTE("2,185,686.09",".","-"),",","."),"-",",")</f>
        <v>2.185.686,09</v>
      </c>
      <c r="K1074" s="2"/>
    </row>
    <row r="1075" spans="1:11" ht="63" x14ac:dyDescent="0.25">
      <c r="A1075" s="1" t="str">
        <f>"334/2013"</f>
        <v>334/2013</v>
      </c>
      <c r="B1075" s="1" t="s">
        <v>14</v>
      </c>
      <c r="C1075" s="1" t="s">
        <v>910</v>
      </c>
      <c r="D1075" s="1" t="str">
        <f>CONCATENATE("7-2013-EMV",CHAR(10),"2013/S 015-0061346 od 09.07.2013.")</f>
        <v>7-2013-EMV
2013/S 015-0061346 od 09.07.2013.</v>
      </c>
      <c r="E1075" s="1" t="s">
        <v>40</v>
      </c>
      <c r="F1075" s="1" t="str">
        <f>"29.135,00"</f>
        <v>29.135,00</v>
      </c>
      <c r="G1075" s="1" t="str">
        <f>CONCATENATE("26.07.2013.",CHAR(10),"do konačnog izvršenja usluge (sukcesivno prema potrebama Naručitelja)")</f>
        <v>26.07.2013.
do konačnog izvršenja usluge (sukcesivno prema potrebama Naručitelja)</v>
      </c>
      <c r="H1075" s="1" t="str">
        <f>CONCATENATE("PRESSCUT D.O.O., ZAGREB")</f>
        <v>PRESSCUT D.O.O., ZAGREB</v>
      </c>
      <c r="I1075" s="2"/>
      <c r="J1075" s="1"/>
      <c r="K1075" s="2"/>
    </row>
    <row r="1076" spans="1:11" ht="63" x14ac:dyDescent="0.25">
      <c r="A1076" s="1" t="str">
        <f>"335/2013"</f>
        <v>335/2013</v>
      </c>
      <c r="B1076" s="1" t="s">
        <v>14</v>
      </c>
      <c r="C1076" s="1" t="s">
        <v>920</v>
      </c>
      <c r="D1076" s="1" t="str">
        <f>CONCATENATE("7-2013-EMV",CHAR(10),"2013/S 015-0061346 od 09.07.2013.")</f>
        <v>7-2013-EMV
2013/S 015-0061346 od 09.07.2013.</v>
      </c>
      <c r="E1076" s="1" t="s">
        <v>40</v>
      </c>
      <c r="F1076" s="1" t="str">
        <f>"20.560,00"</f>
        <v>20.560,00</v>
      </c>
      <c r="G1076" s="1" t="str">
        <f>CONCATENATE("26.07.2013.",CHAR(10),"do konačnog izvršenja usluge (sukcesivno prema potrebama Naručitelja)")</f>
        <v>26.07.2013.
do konačnog izvršenja usluge (sukcesivno prema potrebama Naručitelja)</v>
      </c>
      <c r="H1076" s="1" t="str">
        <f>CONCATENATE("PRESSCUT D.O.O., ZAGREB")</f>
        <v>PRESSCUT D.O.O., ZAGREB</v>
      </c>
      <c r="I1076" s="2"/>
      <c r="J1076" s="1"/>
      <c r="K1076" s="2"/>
    </row>
    <row r="1077" spans="1:11" ht="47.25" x14ac:dyDescent="0.25">
      <c r="A1077" s="1" t="str">
        <f>"336/2013"</f>
        <v>336/2013</v>
      </c>
      <c r="B1077" s="1" t="s">
        <v>26</v>
      </c>
      <c r="C1077" s="1" t="s">
        <v>419</v>
      </c>
      <c r="D1077" s="1" t="str">
        <f>"197-2013-EMV"</f>
        <v>197-2013-EMV</v>
      </c>
      <c r="E1077" s="2"/>
      <c r="F1077" s="1" t="str">
        <f>"37.965,79"</f>
        <v>37.965,79</v>
      </c>
      <c r="G1077" s="1" t="str">
        <f>CONCATENATE("26.07.2013.",CHAR(10),"12 mjeseci")</f>
        <v>26.07.2013.
12 mjeseci</v>
      </c>
      <c r="H1077" s="1" t="str">
        <f>CONCATENATE("INEL-MONTAŽA D.O.O., ZAGREB")</f>
        <v>INEL-MONTAŽA D.O.O., ZAGREB</v>
      </c>
      <c r="I1077" s="1" t="s">
        <v>298</v>
      </c>
      <c r="J1077" s="1" t="str">
        <f>SUBSTITUTE(SUBSTITUTE(SUBSTITUTE("16,086.32",".","-"),",","."),"-",",")</f>
        <v>16.086,32</v>
      </c>
      <c r="K1077" s="2"/>
    </row>
    <row r="1078" spans="1:11" ht="47.25" x14ac:dyDescent="0.25">
      <c r="A1078" s="1" t="str">
        <f>"337/2013"</f>
        <v>337/2013</v>
      </c>
      <c r="B1078" s="1" t="s">
        <v>14</v>
      </c>
      <c r="C1078" s="1" t="s">
        <v>2340</v>
      </c>
      <c r="D1078" s="1" t="str">
        <f>CONCATENATE("205-2013-EMV",CHAR(10),"2013/S-002-0044879 od 16.05.2013.")</f>
        <v>205-2013-EMV
2013/S-002-0044879 od 16.05.2013.</v>
      </c>
      <c r="E1078" s="1" t="s">
        <v>15</v>
      </c>
      <c r="F1078" s="1" t="str">
        <f>"121.698,70"</f>
        <v>121.698,70</v>
      </c>
      <c r="G1078" s="1" t="str">
        <f>CONCATENATE("26.07.2013.",CHAR(10),"30 dana")</f>
        <v>26.07.2013.
30 dana</v>
      </c>
      <c r="H1078" s="1" t="str">
        <f>CONCATENATE("GRADITELJ SVRATIŠTA D.O.O., ZAGREB",CHAR(10),"M-M ELEKTRO D.O.O., LUČKO")</f>
        <v>GRADITELJ SVRATIŠTA D.O.O., ZAGREB
M-M ELEKTRO D.O.O., LUČKO</v>
      </c>
      <c r="I1078" s="1" t="s">
        <v>303</v>
      </c>
      <c r="J1078" s="1" t="str">
        <f>SUBSTITUTE(SUBSTITUTE(SUBSTITUTE("146,788.93",".","-"),",","."),"-",",")</f>
        <v>146.788,93</v>
      </c>
      <c r="K1078" s="2"/>
    </row>
    <row r="1079" spans="1:11" ht="47.25" x14ac:dyDescent="0.25">
      <c r="A1079" s="1" t="str">
        <f>"338/2013"</f>
        <v>338/2013</v>
      </c>
      <c r="B1079" s="1" t="s">
        <v>14</v>
      </c>
      <c r="C1079" s="1" t="s">
        <v>2341</v>
      </c>
      <c r="D1079" s="1" t="str">
        <f>CONCATENATE("1244-2013-EMV",CHAR(10),"2013/S 002-0034379 od 12.04.2013.")</f>
        <v>1244-2013-EMV
2013/S 002-0034379 od 12.04.2013.</v>
      </c>
      <c r="E1079" s="1" t="s">
        <v>15</v>
      </c>
      <c r="F1079" s="1" t="str">
        <f>"76.629,00"</f>
        <v>76.629,00</v>
      </c>
      <c r="G1079" s="1" t="str">
        <f>CONCATENATE("29.07.2013.",CHAR(10),"30 dana")</f>
        <v>29.07.2013.
30 dana</v>
      </c>
      <c r="H1079" s="1" t="str">
        <f>CONCATENATE("ELEKTROKEM D.O.O., SESVETE",CHAR(10),"GEO-INFORMATIČKI STUDIO D.O.O., ZAGREB")</f>
        <v>ELEKTROKEM D.O.O., SESVETE
GEO-INFORMATIČKI STUDIO D.O.O., ZAGREB</v>
      </c>
      <c r="I1079" s="2"/>
      <c r="J1079" s="1"/>
      <c r="K1079" s="2"/>
    </row>
    <row r="1080" spans="1:11" ht="47.25" x14ac:dyDescent="0.25">
      <c r="A1080" s="1" t="str">
        <f>"A-74/2013"</f>
        <v>A-74/2013</v>
      </c>
      <c r="B1080" s="1" t="s">
        <v>11</v>
      </c>
      <c r="C1080" s="1" t="s">
        <v>2342</v>
      </c>
      <c r="D1080" s="1" t="str">
        <f>"3131-2012-EMV"</f>
        <v>3131-2012-EMV</v>
      </c>
      <c r="E1080" s="2"/>
      <c r="F1080" s="1" t="str">
        <f>"0,00"</f>
        <v>0,00</v>
      </c>
      <c r="G1080" s="1" t="str">
        <f>CONCATENATE("30.07.2013.",CHAR(10),"do 31.08.2013")</f>
        <v>30.07.2013.
do 31.08.2013</v>
      </c>
      <c r="H1080" s="1" t="str">
        <f>CONCATENATE("HEDOM D.O.O., ZAGREB")</f>
        <v>HEDOM D.O.O., ZAGREB</v>
      </c>
      <c r="I1080" s="2"/>
      <c r="J1080" s="1"/>
      <c r="K1080" s="2"/>
    </row>
    <row r="1081" spans="1:11" ht="63" x14ac:dyDescent="0.25">
      <c r="A1081" s="1" t="str">
        <f>"A-75/2013"</f>
        <v>A-75/2013</v>
      </c>
      <c r="B1081" s="1" t="s">
        <v>11</v>
      </c>
      <c r="C1081" s="1" t="s">
        <v>2343</v>
      </c>
      <c r="D1081" s="1" t="str">
        <f>"2613-2012-EMV"</f>
        <v>2613-2012-EMV</v>
      </c>
      <c r="E1081" s="2"/>
      <c r="F1081" s="1" t="str">
        <f>"0,00"</f>
        <v>0,00</v>
      </c>
      <c r="G1081" s="1" t="str">
        <f>CONCATENATE("30.07.2013.",CHAR(10),"do 31.07.2013")</f>
        <v>30.07.2013.
do 31.07.2013</v>
      </c>
      <c r="H1081" s="1" t="str">
        <f>CONCATENATE("PRIGORAC-GRAĐENJE D.O.O., SESVETE",CHAR(10),"NERING D.O.O., SESVETE",CHAR(10),"MGV D.O.O., ZAGREB")</f>
        <v>PRIGORAC-GRAĐENJE D.O.O., SESVETE
NERING D.O.O., SESVETE
MGV D.O.O., ZAGREB</v>
      </c>
      <c r="I1081" s="2"/>
      <c r="J1081" s="1"/>
      <c r="K1081" s="2"/>
    </row>
    <row r="1082" spans="1:11" ht="47.25" x14ac:dyDescent="0.25">
      <c r="A1082" s="1" t="str">
        <f>"339/2013"</f>
        <v>339/2013</v>
      </c>
      <c r="B1082" s="1" t="s">
        <v>14</v>
      </c>
      <c r="C1082" s="1" t="s">
        <v>2344</v>
      </c>
      <c r="D1082" s="1" t="str">
        <f>CONCATENATE("1914-2013-EMV",CHAR(10),"2013/S 002-0048030 od 27.05.2013.")</f>
        <v>1914-2013-EMV
2013/S 002-0048030 od 27.05.2013.</v>
      </c>
      <c r="E1082" s="1" t="s">
        <v>15</v>
      </c>
      <c r="F1082" s="1" t="str">
        <f>"377.754,50"</f>
        <v>377.754,50</v>
      </c>
      <c r="G1082" s="1" t="str">
        <f>CONCATENATE("01.08.2013.",CHAR(10),"6 mjeseci")</f>
        <v>01.08.2013.
6 mjeseci</v>
      </c>
      <c r="H1082" s="1" t="str">
        <f>CONCATENATE("HEDOM D.O.O., ZAGREB")</f>
        <v>HEDOM D.O.O., ZAGREB</v>
      </c>
      <c r="I1082" s="1" t="s">
        <v>404</v>
      </c>
      <c r="J1082" s="1" t="str">
        <f>SUBSTITUTE(SUBSTITUTE(SUBSTITUTE("471,307.44",".","-"),",","."),"-",",")</f>
        <v>471.307,44</v>
      </c>
      <c r="K1082" s="2"/>
    </row>
    <row r="1083" spans="1:11" ht="47.25" x14ac:dyDescent="0.25">
      <c r="A1083" s="1" t="str">
        <f>"340/2013"</f>
        <v>340/2013</v>
      </c>
      <c r="B1083" s="1" t="s">
        <v>14</v>
      </c>
      <c r="C1083" s="1" t="s">
        <v>2345</v>
      </c>
      <c r="D1083" s="1" t="str">
        <f>CONCATENATE("1648-2013-EMV",CHAR(10),"2013/S 002-0032955 od 10.04.2013.")</f>
        <v>1648-2013-EMV
2013/S 002-0032955 od 10.04.2013.</v>
      </c>
      <c r="E1083" s="1" t="s">
        <v>15</v>
      </c>
      <c r="F1083" s="1" t="str">
        <f>"138.900,00"</f>
        <v>138.900,00</v>
      </c>
      <c r="G1083" s="1" t="str">
        <f>CONCATENATE("01.08.2013.",CHAR(10),"90 dana")</f>
        <v>01.08.2013.
90 dana</v>
      </c>
      <c r="H1083" s="1" t="str">
        <f>CONCATENATE("ECOINA D.O.O., ZAGREB")</f>
        <v>ECOINA D.O.O., ZAGREB</v>
      </c>
      <c r="I1083" s="1" t="s">
        <v>346</v>
      </c>
      <c r="J1083" s="1" t="str">
        <f>SUBSTITUTE(SUBSTITUTE(SUBSTITUTE("173,625.00",".","-"),",","."),"-",",")</f>
        <v>173.625,00</v>
      </c>
      <c r="K1083" s="2"/>
    </row>
    <row r="1084" spans="1:11" ht="47.25" x14ac:dyDescent="0.25">
      <c r="A1084" s="1" t="str">
        <f>"341/2013"</f>
        <v>341/2013</v>
      </c>
      <c r="B1084" s="1" t="s">
        <v>14</v>
      </c>
      <c r="C1084" s="1" t="s">
        <v>1894</v>
      </c>
      <c r="D1084" s="1" t="str">
        <f>CONCATENATE("1192-2013-EVV",CHAR(10),"2013/S-002-0026859 od 22.03.2013.")</f>
        <v>1192-2013-EVV
2013/S-002-0026859 od 22.03.2013.</v>
      </c>
      <c r="E1084" s="1" t="s">
        <v>15</v>
      </c>
      <c r="F1084" s="1" t="str">
        <f>"2.950.649,00"</f>
        <v>2.950.649,00</v>
      </c>
      <c r="G1084" s="1" t="str">
        <f>CONCATENATE("02.08.2013.",CHAR(10),"12 mjeseci")</f>
        <v>02.08.2013.
12 mjeseci</v>
      </c>
      <c r="H1084" s="1" t="str">
        <f>CONCATENATE("ELEKTROKOVINA D.O.O., HRVATSKI LESKOVAC")</f>
        <v>ELEKTROKOVINA D.O.O., HRVATSKI LESKOVAC</v>
      </c>
      <c r="I1084" s="2"/>
      <c r="J1084" s="1"/>
      <c r="K1084" s="2"/>
    </row>
    <row r="1085" spans="1:11" ht="47.25" x14ac:dyDescent="0.25">
      <c r="A1085" s="1" t="str">
        <f>"342/2013"</f>
        <v>342/2013</v>
      </c>
      <c r="B1085" s="1" t="s">
        <v>14</v>
      </c>
      <c r="C1085" s="1" t="s">
        <v>2346</v>
      </c>
      <c r="D1085" s="1" t="str">
        <f>CONCATENATE("1299-2013-EMV",CHAR(10),"2013/S 002-0032791 od 09.04.2013.")</f>
        <v>1299-2013-EMV
2013/S 002-0032791 od 09.04.2013.</v>
      </c>
      <c r="E1085" s="1" t="s">
        <v>15</v>
      </c>
      <c r="F1085" s="1" t="str">
        <f>"108.758,73"</f>
        <v>108.758,73</v>
      </c>
      <c r="G1085" s="1" t="str">
        <f>CONCATENATE("02.08.2013.",CHAR(10),"60 dana")</f>
        <v>02.08.2013.
60 dana</v>
      </c>
      <c r="H1085" s="1" t="str">
        <f>CONCATENATE("PEEK PROMET D.O.O., ZAGREB",CHAR(10),"GEODETIKA D.O.O., ZAGREB")</f>
        <v>PEEK PROMET D.O.O., ZAGREB
GEODETIKA D.O.O., ZAGREB</v>
      </c>
      <c r="I1085" s="2"/>
      <c r="J1085" s="1"/>
      <c r="K1085" s="2"/>
    </row>
    <row r="1086" spans="1:11" ht="110.25" x14ac:dyDescent="0.25">
      <c r="A1086" s="1" t="str">
        <f>"344/2013"</f>
        <v>344/2013</v>
      </c>
      <c r="B1086" s="1" t="s">
        <v>26</v>
      </c>
      <c r="C1086" s="1" t="s">
        <v>2347</v>
      </c>
      <c r="D1086" s="1" t="str">
        <f>"210-2013-EMV"</f>
        <v>210-2013-EMV</v>
      </c>
      <c r="E1086" s="1" t="s">
        <v>27</v>
      </c>
      <c r="F1086" s="1" t="str">
        <f>"45.355,00"</f>
        <v>45.355,00</v>
      </c>
      <c r="G1086" s="1" t="str">
        <f>CONCATENATE("02.08.2013.",CHAR(10),"12 mjeseci")</f>
        <v>02.08.2013.
12 mjeseci</v>
      </c>
      <c r="H1086" s="1" t="str">
        <f>CONCATENATE("INSPEKT D.O.O., ZAGREB")</f>
        <v>INSPEKT D.O.O., ZAGREB</v>
      </c>
      <c r="I1086" s="1" t="s">
        <v>420</v>
      </c>
      <c r="J1086" s="1" t="str">
        <f>SUBSTITUTE(SUBSTITUTE(SUBSTITUTE("55,547.50",".","-"),",","."),"-",",")</f>
        <v>55.547,50</v>
      </c>
      <c r="K1086" s="2"/>
    </row>
    <row r="1087" spans="1:11" ht="63" x14ac:dyDescent="0.25">
      <c r="A1087" s="1" t="str">
        <f>"343/2013"</f>
        <v>343/2013</v>
      </c>
      <c r="B1087" s="1" t="s">
        <v>14</v>
      </c>
      <c r="C1087" s="1" t="s">
        <v>2348</v>
      </c>
      <c r="D1087" s="1" t="str">
        <f>CONCATENATE("1218-2013-EMV",CHAR(10),"2013/S 002-0034846 od 15.04.2013.")</f>
        <v>1218-2013-EMV
2013/S 002-0034846 od 15.04.2013.</v>
      </c>
      <c r="E1087" s="1" t="s">
        <v>15</v>
      </c>
      <c r="F1087" s="1" t="str">
        <f>"170.000,00"</f>
        <v>170.000,00</v>
      </c>
      <c r="G1087" s="1" t="str">
        <f>CONCATENATE("02.08.2013.",CHAR(10),"90 dana")</f>
        <v>02.08.2013.
90 dana</v>
      </c>
      <c r="H1087" s="1" t="str">
        <f>CONCATENATE("EKO-PLAN D.O.O., ZAGREB",CHAR(10),"LAUREUS PROJEKT D.O.O., ZAGREB",CHAR(10),"T.D.I. 90 D.O.O., ZAGREB",CHAR(10),"MJERNIK LIMA D.O.O., ZAGREB")</f>
        <v>EKO-PLAN D.O.O., ZAGREB
LAUREUS PROJEKT D.O.O., ZAGREB
T.D.I. 90 D.O.O., ZAGREB
MJERNIK LIMA D.O.O., ZAGREB</v>
      </c>
      <c r="I1087" s="2"/>
      <c r="J1087" s="1"/>
      <c r="K1087" s="2"/>
    </row>
    <row r="1088" spans="1:11" ht="63" x14ac:dyDescent="0.25">
      <c r="A1088" s="1" t="str">
        <f>"345/2013"</f>
        <v>345/2013</v>
      </c>
      <c r="B1088" s="1" t="s">
        <v>26</v>
      </c>
      <c r="C1088" s="1" t="s">
        <v>2349</v>
      </c>
      <c r="D1088" s="1" t="str">
        <f>"210-2013-EMV"</f>
        <v>210-2013-EMV</v>
      </c>
      <c r="E1088" s="1" t="s">
        <v>27</v>
      </c>
      <c r="F1088" s="1" t="str">
        <f>"43.800,00"</f>
        <v>43.800,00</v>
      </c>
      <c r="G1088" s="1" t="str">
        <f>CONCATENATE("02.08.2013.",CHAR(10),"12 mjeseci")</f>
        <v>02.08.2013.
12 mjeseci</v>
      </c>
      <c r="H1088" s="1" t="str">
        <f>CONCATENATE("INSPEKT D.O.O., ZAGREB")</f>
        <v>INSPEKT D.O.O., ZAGREB</v>
      </c>
      <c r="I1088" s="1" t="s">
        <v>406</v>
      </c>
      <c r="J1088" s="1" t="str">
        <f>SUBSTITUTE(SUBSTITUTE(SUBSTITUTE("54,150.00",".","-"),",","."),"-",",")</f>
        <v>54.150,00</v>
      </c>
      <c r="K1088" s="2"/>
    </row>
    <row r="1089" spans="1:11" ht="47.25" x14ac:dyDescent="0.25">
      <c r="A1089" s="1" t="str">
        <f>"346/2013"</f>
        <v>346/2013</v>
      </c>
      <c r="B1089" s="1" t="s">
        <v>26</v>
      </c>
      <c r="C1089" s="1" t="s">
        <v>2350</v>
      </c>
      <c r="D1089" s="1" t="str">
        <f>"192-2013-EMV"</f>
        <v>192-2013-EMV</v>
      </c>
      <c r="E1089" s="1" t="s">
        <v>27</v>
      </c>
      <c r="F1089" s="1" t="str">
        <f>"357.440,00"</f>
        <v>357.440,00</v>
      </c>
      <c r="G1089" s="1" t="str">
        <f>CONCATENATE("02.08.2013.",CHAR(10),"12 mjeseci")</f>
        <v>02.08.2013.
12 mjeseci</v>
      </c>
      <c r="H1089" s="1" t="str">
        <f>CONCATENATE("SOBOSLIKARSKI I LIČILAČKI OBRT VL. PAVE VUKELIĆ, DUGO SELO")</f>
        <v>SOBOSLIKARSKI I LIČILAČKI OBRT VL. PAVE VUKELIĆ, DUGO SELO</v>
      </c>
      <c r="I1089" s="1" t="s">
        <v>421</v>
      </c>
      <c r="J1089" s="1" t="str">
        <f>SUBSTITUTE(SUBSTITUTE(SUBSTITUTE("443,897.07",".","-"),",","."),"-",",")</f>
        <v>443.897,07</v>
      </c>
      <c r="K1089" s="2"/>
    </row>
    <row r="1090" spans="1:11" ht="47.25" x14ac:dyDescent="0.25">
      <c r="A1090" s="1" t="str">
        <f>"347/2013"</f>
        <v>347/2013</v>
      </c>
      <c r="B1090" s="1" t="s">
        <v>14</v>
      </c>
      <c r="C1090" s="1" t="s">
        <v>2351</v>
      </c>
      <c r="D1090" s="1" t="str">
        <f>CONCATENATE("2280-2013-EMV",CHAR(10),"2013/S 015-0067207 od 29.07.2013.")</f>
        <v>2280-2013-EMV
2013/S 015-0067207 od 29.07.2013.</v>
      </c>
      <c r="E1090" s="1" t="s">
        <v>12</v>
      </c>
      <c r="F1090" s="1" t="str">
        <f>"647.388,67"</f>
        <v>647.388,67</v>
      </c>
      <c r="G1090" s="1" t="str">
        <f>CONCATENATE("06.08.2013.",CHAR(10),"23.08.2013.")</f>
        <v>06.08.2013.
23.08.2013.</v>
      </c>
      <c r="H1090" s="1" t="str">
        <f>CONCATENATE("GLAS KONCILA, ZAGREB")</f>
        <v>GLAS KONCILA, ZAGREB</v>
      </c>
      <c r="I1090" s="1" t="s">
        <v>422</v>
      </c>
      <c r="J1090" s="1" t="str">
        <f>SUBSTITUTE(SUBSTITUTE(SUBSTITUTE("679,752.85",".","-"),",","."),"-",",")</f>
        <v>679.752,85</v>
      </c>
      <c r="K1090" s="2"/>
    </row>
    <row r="1091" spans="1:11" ht="47.25" x14ac:dyDescent="0.25">
      <c r="A1091" s="1" t="str">
        <f>"348/2013"</f>
        <v>348/2013</v>
      </c>
      <c r="B1091" s="1" t="s">
        <v>14</v>
      </c>
      <c r="C1091" s="1" t="s">
        <v>2352</v>
      </c>
      <c r="D1091" s="1" t="str">
        <f>CONCATENATE("2279-2013-EMV",CHAR(10),"2013/S 015-0067212 od 29.07.2013.")</f>
        <v>2279-2013-EMV
2013/S 015-0067212 od 29.07.2013.</v>
      </c>
      <c r="E1091" s="1" t="s">
        <v>12</v>
      </c>
      <c r="F1091" s="1" t="str">
        <f>"345.503,42"</f>
        <v>345.503,42</v>
      </c>
      <c r="G1091" s="1" t="str">
        <f>CONCATENATE("06.08.2013.",CHAR(10),"23.08.2013.")</f>
        <v>06.08.2013.
23.08.2013.</v>
      </c>
      <c r="H1091" s="1" t="str">
        <f>CONCATENATE("KLETT VERLAG D.O.O., ZAGREB")</f>
        <v>KLETT VERLAG D.O.O., ZAGREB</v>
      </c>
      <c r="I1091" s="1" t="s">
        <v>177</v>
      </c>
      <c r="J1091" s="1" t="str">
        <f>SUBSTITUTE(SUBSTITUTE(SUBSTITUTE("343,197.18",".","-"),",","."),"-",",")</f>
        <v>343.197,18</v>
      </c>
      <c r="K1091" s="2"/>
    </row>
    <row r="1092" spans="1:11" ht="63" x14ac:dyDescent="0.25">
      <c r="A1092" s="1" t="str">
        <f>"349/2013"</f>
        <v>349/2013</v>
      </c>
      <c r="B1092" s="1" t="s">
        <v>14</v>
      </c>
      <c r="C1092" s="1" t="s">
        <v>2353</v>
      </c>
      <c r="D1092" s="1" t="str">
        <f>"1698-2013-EVV"</f>
        <v>1698-2013-EVV</v>
      </c>
      <c r="E1092" s="1" t="s">
        <v>40</v>
      </c>
      <c r="F1092" s="1" t="str">
        <f>"2.234.577,27"</f>
        <v>2.234.577,27</v>
      </c>
      <c r="G1092" s="1" t="str">
        <f>CONCATENATE("01.07.2013.",CHAR(10)," od 25.06. do 17.09.2013")</f>
        <v>01.07.2013.
 od 25.06. do 17.09.2013</v>
      </c>
      <c r="H1092" s="1" t="str">
        <f>CONCATENATE("ZAGREBAČKI HOLDING D.O.O., PODRUŽNICA VLADIMIR NAZOR, ZAGREB")</f>
        <v>ZAGREBAČKI HOLDING D.O.O., PODRUŽNICA VLADIMIR NAZOR, ZAGREB</v>
      </c>
      <c r="I1092" s="1" t="s">
        <v>377</v>
      </c>
      <c r="J1092" s="1" t="str">
        <f>SUBSTITUTE(SUBSTITUTE(SUBSTITUTE("2,520,000.00",".","-"),",","."),"-",",")</f>
        <v>2.520.000,00</v>
      </c>
      <c r="K1092" s="2"/>
    </row>
    <row r="1093" spans="1:11" ht="47.25" x14ac:dyDescent="0.25">
      <c r="A1093" s="1" t="str">
        <f>"350/2013"</f>
        <v>350/2013</v>
      </c>
      <c r="B1093" s="1" t="s">
        <v>14</v>
      </c>
      <c r="C1093" s="1" t="s">
        <v>2354</v>
      </c>
      <c r="D1093" s="1" t="str">
        <f>CONCATENATE("2277-2013-EMV",CHAR(10),"2013/S 015-0067209 od 29.07.2013.")</f>
        <v>2277-2013-EMV
2013/S 015-0067209 od 29.07.2013.</v>
      </c>
      <c r="E1093" s="1" t="s">
        <v>12</v>
      </c>
      <c r="F1093" s="1" t="str">
        <f>"1.375.159,37"</f>
        <v>1.375.159,37</v>
      </c>
      <c r="G1093" s="1" t="str">
        <f t="shared" ref="G1093:G1098" si="6">CONCATENATE("06.08.2013.",CHAR(10),"23.08.2013.")</f>
        <v>06.08.2013.
23.08.2013.</v>
      </c>
      <c r="H1093" s="1" t="str">
        <f>CONCATENATE("NAKLADA LJEVAK D.O.O., ZAGREB")</f>
        <v>NAKLADA LJEVAK D.O.O., ZAGREB</v>
      </c>
      <c r="I1093" s="1" t="s">
        <v>423</v>
      </c>
      <c r="J1093" s="1" t="str">
        <f>SUBSTITUTE(SUBSTITUTE(SUBSTITUTE("1,437,260.00",".","-"),",","."),"-",",")</f>
        <v>1.437.260,00</v>
      </c>
      <c r="K1093" s="2"/>
    </row>
    <row r="1094" spans="1:11" ht="47.25" x14ac:dyDescent="0.25">
      <c r="A1094" s="1" t="str">
        <f>"351/2013"</f>
        <v>351/2013</v>
      </c>
      <c r="B1094" s="1" t="s">
        <v>14</v>
      </c>
      <c r="C1094" s="1" t="s">
        <v>2355</v>
      </c>
      <c r="D1094" s="1" t="str">
        <f>CONCATENATE("2278-2013-EVV",CHAR(10),"2013/S 015-0067205 od 29.07.2013.")</f>
        <v>2278-2013-EVV
2013/S 015-0067205 od 29.07.2013.</v>
      </c>
      <c r="E1094" s="1" t="s">
        <v>12</v>
      </c>
      <c r="F1094" s="1" t="str">
        <f>"1.914.991,73"</f>
        <v>1.914.991,73</v>
      </c>
      <c r="G1094" s="1" t="str">
        <f t="shared" si="6"/>
        <v>06.08.2013.
23.08.2013.</v>
      </c>
      <c r="H1094" s="1" t="str">
        <f>CONCATENATE("KRŠĆANSKA SADAŠNJOST D.O.O., ZAGREB")</f>
        <v>KRŠĆANSKA SADAŠNJOST D.O.O., ZAGREB</v>
      </c>
      <c r="I1094" s="1" t="s">
        <v>398</v>
      </c>
      <c r="J1094" s="1" t="str">
        <f>SUBSTITUTE(SUBSTITUTE(SUBSTITUTE("2,010,741.32",".","-"),",","."),"-",",")</f>
        <v>2.010.741,32</v>
      </c>
      <c r="K1094" s="2"/>
    </row>
    <row r="1095" spans="1:11" ht="47.25" x14ac:dyDescent="0.25">
      <c r="A1095" s="1" t="str">
        <f>"352/2013"</f>
        <v>352/2013</v>
      </c>
      <c r="B1095" s="1" t="s">
        <v>14</v>
      </c>
      <c r="C1095" s="1" t="s">
        <v>2356</v>
      </c>
      <c r="D1095" s="1" t="str">
        <f>CONCATENATE("2281-2013-EMV",CHAR(10),"2013/S 015-0067203 od 29.07.2013.")</f>
        <v>2281-2013-EMV
2013/S 015-0067203 od 29.07.2013.</v>
      </c>
      <c r="E1095" s="1" t="s">
        <v>12</v>
      </c>
      <c r="F1095" s="1" t="str">
        <f>"227.867,39"</f>
        <v>227.867,39</v>
      </c>
      <c r="G1095" s="1" t="str">
        <f t="shared" si="6"/>
        <v>06.08.2013.
23.08.2013.</v>
      </c>
      <c r="H1095" s="1" t="str">
        <f>CONCATENATE("ALKA SCRIPT D.O.O., ZAGREB")</f>
        <v>ALKA SCRIPT D.O.O., ZAGREB</v>
      </c>
      <c r="I1095" s="1" t="s">
        <v>423</v>
      </c>
      <c r="J1095" s="1" t="str">
        <f>SUBSTITUTE(SUBSTITUTE(SUBSTITUTE("199,244.87",".","-"),",","."),"-",",")</f>
        <v>199.244,87</v>
      </c>
      <c r="K1095" s="2"/>
    </row>
    <row r="1096" spans="1:11" ht="63" x14ac:dyDescent="0.25">
      <c r="A1096" s="1" t="str">
        <f>"353/2013"</f>
        <v>353/2013</v>
      </c>
      <c r="B1096" s="1" t="s">
        <v>14</v>
      </c>
      <c r="C1096" s="1" t="s">
        <v>2357</v>
      </c>
      <c r="D1096" s="1" t="str">
        <f>CONCATENATE("2283-2013-EVV",CHAR(10),"2013/S 015-0067215 od 29.07.2013.")</f>
        <v>2283-2013-EVV
2013/S 015-0067215 od 29.07.2013.</v>
      </c>
      <c r="E1096" s="1" t="s">
        <v>12</v>
      </c>
      <c r="F1096" s="1" t="str">
        <f>"6.030.172,47"</f>
        <v>6.030.172,47</v>
      </c>
      <c r="G1096" s="1" t="str">
        <f t="shared" si="6"/>
        <v>06.08.2013.
23.08.2013.</v>
      </c>
      <c r="H1096" s="1" t="str">
        <f>CONCATENATE("ALFA D.D. ZA IZDAVAČKE, GRAFIČKE I TRGOVAČKE POSLOVE, ZAGREB")</f>
        <v>ALFA D.D. ZA IZDAVAČKE, GRAFIČKE I TRGOVAČKE POSLOVE, ZAGREB</v>
      </c>
      <c r="I1096" s="1" t="s">
        <v>398</v>
      </c>
      <c r="J1096" s="1" t="str">
        <f>SUBSTITUTE(SUBSTITUTE(SUBSTITUTE("6,237,997.56",".","-"),",","."),"-",",")</f>
        <v>6.237.997,56</v>
      </c>
      <c r="K1096" s="2"/>
    </row>
    <row r="1097" spans="1:11" ht="47.25" x14ac:dyDescent="0.25">
      <c r="A1097" s="1" t="str">
        <f>"354/2013"</f>
        <v>354/2013</v>
      </c>
      <c r="B1097" s="1" t="s">
        <v>14</v>
      </c>
      <c r="C1097" s="1" t="s">
        <v>2358</v>
      </c>
      <c r="D1097" s="1" t="str">
        <f>CONCATENATE("2282-2013-EMV",CHAR(10),"2013/S 015-0067201 od 26.07.2013.")</f>
        <v>2282-2013-EMV
2013/S 015-0067201 od 26.07.2013.</v>
      </c>
      <c r="E1097" s="1" t="s">
        <v>12</v>
      </c>
      <c r="F1097" s="1" t="str">
        <f>"1.593.311,72"</f>
        <v>1.593.311,72</v>
      </c>
      <c r="G1097" s="1" t="str">
        <f t="shared" si="6"/>
        <v>06.08.2013.
23.08.2013.</v>
      </c>
      <c r="H1097" s="1" t="str">
        <f>CONCATENATE("ALGORITAM D.O.O., ZAGREB")</f>
        <v>ALGORITAM D.O.O., ZAGREB</v>
      </c>
      <c r="I1097" s="1" t="s">
        <v>422</v>
      </c>
      <c r="J1097" s="1" t="str">
        <f>SUBSTITUTE(SUBSTITUTE(SUBSTITUTE("1,649,883.66",".","-"),",","."),"-",",")</f>
        <v>1.649.883,66</v>
      </c>
      <c r="K1097" s="2"/>
    </row>
    <row r="1098" spans="1:11" ht="47.25" x14ac:dyDescent="0.25">
      <c r="A1098" s="1" t="str">
        <f>"355/2013"</f>
        <v>355/2013</v>
      </c>
      <c r="B1098" s="1" t="s">
        <v>14</v>
      </c>
      <c r="C1098" s="1" t="s">
        <v>2359</v>
      </c>
      <c r="D1098" s="1" t="str">
        <f>CONCATENATE("2275-2013-EMV",CHAR(10),"2013/S 015-0067202 od 29.07.2013.")</f>
        <v>2275-2013-EMV
2013/S 015-0067202 od 29.07.2013.</v>
      </c>
      <c r="E1098" s="1" t="s">
        <v>12</v>
      </c>
      <c r="F1098" s="1" t="str">
        <f>"335.279,15"</f>
        <v>335.279,15</v>
      </c>
      <c r="G1098" s="1" t="str">
        <f t="shared" si="6"/>
        <v>06.08.2013.
23.08.2013.</v>
      </c>
      <c r="H1098" s="1" t="str">
        <f>CONCATENATE("SYSPRINT D.O.O., ZAGREB")</f>
        <v>SYSPRINT D.O.O., ZAGREB</v>
      </c>
      <c r="I1098" s="1" t="s">
        <v>285</v>
      </c>
      <c r="J1098" s="1" t="str">
        <f>SUBSTITUTE(SUBSTITUTE(SUBSTITUTE("338,792.39",".","-"),",","."),"-",",")</f>
        <v>338.792,39</v>
      </c>
      <c r="K1098" s="2"/>
    </row>
    <row r="1099" spans="1:11" ht="47.25" x14ac:dyDescent="0.25">
      <c r="A1099" s="1" t="str">
        <f>"356/2013"</f>
        <v>356/2013</v>
      </c>
      <c r="B1099" s="1" t="s">
        <v>26</v>
      </c>
      <c r="C1099" s="1" t="s">
        <v>424</v>
      </c>
      <c r="D1099" s="1" t="str">
        <f>"235-2013-EVV"</f>
        <v>235-2013-EVV</v>
      </c>
      <c r="E1099" s="1" t="s">
        <v>27</v>
      </c>
      <c r="F1099" s="1" t="str">
        <f>"9.836.517,80"</f>
        <v>9.836.517,80</v>
      </c>
      <c r="G1099" s="1" t="str">
        <f>CONCATENATE("31.07.2013.",CHAR(10),"31.12.2013.")</f>
        <v>31.07.2013.
31.12.2013.</v>
      </c>
      <c r="H1099" s="1" t="str">
        <f>CONCATENATE("APIS IT D.O.O., ZAGREB")</f>
        <v>APIS IT D.O.O., ZAGREB</v>
      </c>
      <c r="I1099" s="1" t="s">
        <v>385</v>
      </c>
      <c r="J1099" s="1" t="str">
        <f>SUBSTITUTE(SUBSTITUTE(SUBSTITUTE("9,709,249.28",".","-"),",","."),"-",",")</f>
        <v>9.709.249,28</v>
      </c>
      <c r="K1099" s="2"/>
    </row>
    <row r="1100" spans="1:11" ht="63" x14ac:dyDescent="0.25">
      <c r="A1100" s="1" t="str">
        <f>"A-76/2013"</f>
        <v>A-76/2013</v>
      </c>
      <c r="B1100" s="1" t="s">
        <v>11</v>
      </c>
      <c r="C1100" s="1" t="s">
        <v>2360</v>
      </c>
      <c r="D1100" s="1" t="str">
        <f>"1578-2013-EMV"</f>
        <v>1578-2013-EMV</v>
      </c>
      <c r="E1100" s="2"/>
      <c r="F1100" s="1" t="str">
        <f>"0,00"</f>
        <v>0,00</v>
      </c>
      <c r="G1100" s="1" t="str">
        <f>CONCATENATE("07.08.2013.",CHAR(10),"do 21.08.2013.")</f>
        <v>07.08.2013.
do 21.08.2013.</v>
      </c>
      <c r="H1100" s="1" t="str">
        <f>CONCATENATE("INTERGRAFIKA-TTŽ D.O.O., ZAGREB")</f>
        <v>INTERGRAFIKA-TTŽ D.O.O., ZAGREB</v>
      </c>
      <c r="I1100" s="2"/>
      <c r="J1100" s="1"/>
      <c r="K1100" s="2"/>
    </row>
    <row r="1101" spans="1:11" ht="47.25" x14ac:dyDescent="0.25">
      <c r="A1101" s="1" t="str">
        <f>"357/2013"</f>
        <v>357/2013</v>
      </c>
      <c r="B1101" s="1" t="s">
        <v>14</v>
      </c>
      <c r="C1101" s="1" t="s">
        <v>2361</v>
      </c>
      <c r="D1101" s="1" t="str">
        <f>CONCATENATE("2057-2012-EVV",CHAR(10),"2013/S 002-0017041 od 26.02.2013.")</f>
        <v>2057-2012-EVV
2013/S 002-0017041 od 26.02.2013.</v>
      </c>
      <c r="E1101" s="1" t="s">
        <v>15</v>
      </c>
      <c r="F1101" s="1" t="str">
        <f>"1.370.135,00"</f>
        <v>1.370.135,00</v>
      </c>
      <c r="G1101" s="1" t="str">
        <f>CONCATENATE("07.08.2013.",CHAR(10),"3 mjeseca")</f>
        <v>07.08.2013.
3 mjeseca</v>
      </c>
      <c r="H1101" s="1" t="str">
        <f>CONCATENATE("ŠKOLSKI SERVIS D.O.O., ZAGREB",CHAR(10),"ORTO REA D.O.O., VARAŽDIN (JALKOVEC)")</f>
        <v>ŠKOLSKI SERVIS D.O.O., ZAGREB
ORTO REA D.O.O., VARAŽDIN (JALKOVEC)</v>
      </c>
      <c r="I1101" s="1" t="s">
        <v>167</v>
      </c>
      <c r="J1101" s="1" t="str">
        <f>SUBSTITUTE(SUBSTITUTE(SUBSTITUTE("1,712,593.75",".","-"),",","."),"-",",")</f>
        <v>1.712.593,75</v>
      </c>
      <c r="K1101" s="2"/>
    </row>
    <row r="1102" spans="1:11" ht="47.25" x14ac:dyDescent="0.25">
      <c r="A1102" s="1" t="str">
        <f>"358/2013"</f>
        <v>358/2013</v>
      </c>
      <c r="B1102" s="1" t="s">
        <v>26</v>
      </c>
      <c r="C1102" s="1" t="s">
        <v>2362</v>
      </c>
      <c r="D1102" s="1" t="str">
        <f>"3199-2012-EVV"</f>
        <v>3199-2012-EVV</v>
      </c>
      <c r="E1102" s="2"/>
      <c r="F1102" s="1" t="str">
        <f>"3.349.860,00"</f>
        <v>3.349.860,00</v>
      </c>
      <c r="G1102" s="1" t="str">
        <f>CONCATENATE("07.08.2013.",CHAR(10),"12 mjeseci")</f>
        <v>07.08.2013.
12 mjeseci</v>
      </c>
      <c r="H1102" s="1" t="str">
        <f>CONCATENATE("METRONET TELEKOMUNIKACIJE D.D., ZAGREB")</f>
        <v>METRONET TELEKOMUNIKACIJE D.D., ZAGREB</v>
      </c>
      <c r="I1102" s="1" t="s">
        <v>425</v>
      </c>
      <c r="J1102" s="1" t="str">
        <f>SUBSTITUTE(SUBSTITUTE(SUBSTITUTE("3,967,371.05",".","-"),",","."),"-",",")</f>
        <v>3.967.371,05</v>
      </c>
      <c r="K1102" s="2"/>
    </row>
    <row r="1103" spans="1:11" ht="47.25" x14ac:dyDescent="0.25">
      <c r="A1103" s="1" t="str">
        <f>"360/2013"</f>
        <v>360/2013</v>
      </c>
      <c r="B1103" s="1" t="s">
        <v>14</v>
      </c>
      <c r="C1103" s="1" t="s">
        <v>2363</v>
      </c>
      <c r="D1103" s="1" t="str">
        <f>CONCATENATE("2274-2013-EVV",CHAR(10),"2013/S 015-0067208 od 29.07.2013.")</f>
        <v>2274-2013-EVV
2013/S 015-0067208 od 29.07.2013.</v>
      </c>
      <c r="E1103" s="1" t="s">
        <v>12</v>
      </c>
      <c r="F1103" s="1" t="str">
        <f>"16.202.936,51"</f>
        <v>16.202.936,51</v>
      </c>
      <c r="G1103" s="1" t="str">
        <f>CONCATENATE("06.08.2013.",CHAR(10),"23.08.2013.")</f>
        <v>06.08.2013.
23.08.2013.</v>
      </c>
      <c r="H1103" s="1" t="str">
        <f>CONCATENATE("ŠKOLSKA KNJIGA D.D., ZAGREB")</f>
        <v>ŠKOLSKA KNJIGA D.D., ZAGREB</v>
      </c>
      <c r="I1103" s="1" t="s">
        <v>365</v>
      </c>
      <c r="J1103" s="1" t="str">
        <f>SUBSTITUTE(SUBSTITUTE(SUBSTITUTE("16,995,592.46",".","-"),",","."),"-",",")</f>
        <v>16.995.592,46</v>
      </c>
      <c r="K1103" s="2"/>
    </row>
    <row r="1104" spans="1:11" ht="47.25" x14ac:dyDescent="0.25">
      <c r="A1104" s="1" t="str">
        <f>"361/2013"</f>
        <v>361/2013</v>
      </c>
      <c r="B1104" s="1" t="s">
        <v>14</v>
      </c>
      <c r="C1104" s="1" t="s">
        <v>2364</v>
      </c>
      <c r="D1104" s="1" t="str">
        <f>CONCATENATE("1910-2013-EMV",CHAR(10),"2013/S 002-0046276 od 21.05.2013.")</f>
        <v>1910-2013-EMV
2013/S 002-0046276 od 21.05.2013.</v>
      </c>
      <c r="E1104" s="1" t="s">
        <v>15</v>
      </c>
      <c r="F1104" s="1" t="str">
        <f>"64.747,00"</f>
        <v>64.747,00</v>
      </c>
      <c r="G1104" s="1" t="str">
        <f>CONCATENATE("09.08.2013.",CHAR(10),"3 mjeseca")</f>
        <v>09.08.2013.
3 mjeseca</v>
      </c>
      <c r="H1104" s="1" t="str">
        <f>CONCATENATE("SPEKTAR GRADNJA D.O.O., ZAGREB")</f>
        <v>SPEKTAR GRADNJA D.O.O., ZAGREB</v>
      </c>
      <c r="I1104" s="1" t="s">
        <v>303</v>
      </c>
      <c r="J1104" s="1" t="str">
        <f>SUBSTITUTE(SUBSTITUTE(SUBSTITUTE("80,911.73",".","-"),",","."),"-",",")</f>
        <v>80.911,73</v>
      </c>
      <c r="K1104" s="2"/>
    </row>
    <row r="1105" spans="1:11" ht="47.25" x14ac:dyDescent="0.25">
      <c r="A1105" s="1" t="str">
        <f>"362/2013"</f>
        <v>362/2013</v>
      </c>
      <c r="B1105" s="1" t="s">
        <v>14</v>
      </c>
      <c r="C1105" s="1" t="s">
        <v>2365</v>
      </c>
      <c r="D1105" s="1" t="str">
        <f>CONCATENATE("2276-2013-EVV",CHAR(10),"2013/S 015-0067206 od 29.07.2013.")</f>
        <v>2276-2013-EVV
2013/S 015-0067206 od 29.07.2013.</v>
      </c>
      <c r="E1105" s="1" t="s">
        <v>12</v>
      </c>
      <c r="F1105" s="1" t="str">
        <f>"12.766.611,80"</f>
        <v>12.766.611,80</v>
      </c>
      <c r="G1105" s="1" t="str">
        <f>CONCATENATE("06.08.2013.",CHAR(10),"23.08.2013.")</f>
        <v>06.08.2013.
23.08.2013.</v>
      </c>
      <c r="H1105" s="1" t="str">
        <f>CONCATENATE("PROFIL INTERNATIONAL D.O.O., ZAGREB")</f>
        <v>PROFIL INTERNATIONAL D.O.O., ZAGREB</v>
      </c>
      <c r="I1105" s="1" t="s">
        <v>426</v>
      </c>
      <c r="J1105" s="1" t="str">
        <f>SUBSTITUTE(SUBSTITUTE(SUBSTITUTE("12,525,457.13",".","-"),",","."),"-",",")</f>
        <v>12.525.457,13</v>
      </c>
      <c r="K1105" s="2"/>
    </row>
    <row r="1106" spans="1:11" ht="47.25" x14ac:dyDescent="0.25">
      <c r="A1106" s="1" t="str">
        <f>"A-77/2013"</f>
        <v>A-77/2013</v>
      </c>
      <c r="B1106" s="1" t="s">
        <v>11</v>
      </c>
      <c r="C1106" s="1" t="s">
        <v>2366</v>
      </c>
      <c r="D1106" s="1" t="str">
        <f>"2861-2012-EMV"</f>
        <v>2861-2012-EMV</v>
      </c>
      <c r="E1106" s="2"/>
      <c r="F1106" s="1" t="str">
        <f>"0,00"</f>
        <v>0,00</v>
      </c>
      <c r="G1106" s="1" t="str">
        <f>CONCATENATE("12.08.2013.",CHAR(10),"6 mjeseci")</f>
        <v>12.08.2013.
6 mjeseci</v>
      </c>
      <c r="H1106" s="1" t="str">
        <f>CONCATENATE("GEOKON - ZAGREB D.D., ZAGREB")</f>
        <v>GEOKON - ZAGREB D.D., ZAGREB</v>
      </c>
      <c r="I1106" s="2"/>
      <c r="J1106" s="1"/>
      <c r="K1106" s="2"/>
    </row>
    <row r="1107" spans="1:11" ht="63" x14ac:dyDescent="0.25">
      <c r="A1107" s="1" t="str">
        <f>"A-78/2013"</f>
        <v>A-78/2013</v>
      </c>
      <c r="B1107" s="1" t="s">
        <v>11</v>
      </c>
      <c r="C1107" s="1" t="s">
        <v>2367</v>
      </c>
      <c r="D1107" s="1" t="str">
        <f>"197-2013-EMV"</f>
        <v>197-2013-EMV</v>
      </c>
      <c r="E1107" s="2"/>
      <c r="F1107" s="1" t="str">
        <f>"0,00"</f>
        <v>0,00</v>
      </c>
      <c r="G1107" s="1" t="str">
        <f>"12.08.2013."</f>
        <v>12.08.2013.</v>
      </c>
      <c r="H1107" s="1" t="str">
        <f>CONCATENATE("INEL-MONTAŽA D.O.O., ZAGREB")</f>
        <v>INEL-MONTAŽA D.O.O., ZAGREB</v>
      </c>
      <c r="I1107" s="2"/>
      <c r="J1107" s="1"/>
      <c r="K1107" s="2"/>
    </row>
    <row r="1108" spans="1:11" ht="47.25" x14ac:dyDescent="0.25">
      <c r="A1108" s="1" t="str">
        <f>"363/2013"</f>
        <v>363/2013</v>
      </c>
      <c r="B1108" s="1" t="s">
        <v>14</v>
      </c>
      <c r="C1108" s="1" t="s">
        <v>2368</v>
      </c>
      <c r="D1108" s="1" t="str">
        <f>CONCATENATE("506-2013-EMV",CHAR(10),"2013/S 002-0025098 od 19.03.2013.")</f>
        <v>506-2013-EMV
2013/S 002-0025098 od 19.03.2013.</v>
      </c>
      <c r="E1108" s="1" t="s">
        <v>15</v>
      </c>
      <c r="F1108" s="1" t="str">
        <f>"457.750,00"</f>
        <v>457.750,00</v>
      </c>
      <c r="G1108" s="1" t="str">
        <f>CONCATENATE("13.08.2013.",CHAR(10),"60 dana")</f>
        <v>13.08.2013.
60 dana</v>
      </c>
      <c r="H1108" s="1" t="str">
        <f>CONCATENATE("DELTRON D.O.O., SPLIT")</f>
        <v>DELTRON D.O.O., SPLIT</v>
      </c>
      <c r="I1108" s="1" t="s">
        <v>427</v>
      </c>
      <c r="J1108" s="1" t="str">
        <f>SUBSTITUTE(SUBSTITUTE(SUBSTITUTE("566,863.12",".","-"),",","."),"-",",")</f>
        <v>566.863,12</v>
      </c>
      <c r="K1108" s="2"/>
    </row>
    <row r="1109" spans="1:11" ht="141.75" x14ac:dyDescent="0.25">
      <c r="A1109" s="1" t="str">
        <f>"364/2013"</f>
        <v>364/2013</v>
      </c>
      <c r="B1109" s="1" t="s">
        <v>14</v>
      </c>
      <c r="C1109" s="1" t="s">
        <v>2369</v>
      </c>
      <c r="D1109" s="1" t="str">
        <f>CONCATENATE("1687-2013-EMV",CHAR(10),"2013/S 002-0032250 od 08.04.2013.")</f>
        <v>1687-2013-EMV
2013/S 002-0032250 od 08.04.2013.</v>
      </c>
      <c r="E1109" s="1" t="s">
        <v>15</v>
      </c>
      <c r="F1109" s="1" t="str">
        <f>"649.500,00"</f>
        <v>649.500,00</v>
      </c>
      <c r="G1109" s="1" t="str">
        <f>CONCATENATE("13.08.2013.",CHAR(10),"4 mjeseca")</f>
        <v>13.08.2013.
4 mjeseca</v>
      </c>
      <c r="H1109" s="1" t="str">
        <f>CONCATENATE("STUDIO G DVA D.O.O., ZAGREB",CHAR(10),"PLAN PLUS D.O.O., ZAGREB",CHAR(10),"PROJEKTING  1970 D.O.O., ZAGREB",CHAR(10),"I.B.R. INŽENJERING CIRKOVIĆ D.O.O., ZAGREB",CHAR(10),"METROALFA D.O.O., ZAGREB",CHAR(10),"PROJEKTNI URED KANCELJAK MARELIĆ D.O.O., ZAGREB",CHAR(10),"VIZURA D.O.O., LUČKO")</f>
        <v>STUDIO G DVA D.O.O., ZAGREB
PLAN PLUS D.O.O., ZAGREB
PROJEKTING  1970 D.O.O., ZAGREB
I.B.R. INŽENJERING CIRKOVIĆ D.O.O., ZAGREB
METROALFA D.O.O., ZAGREB
PROJEKTNI URED KANCELJAK MARELIĆ D.O.O., ZAGREB
VIZURA D.O.O., LUČKO</v>
      </c>
      <c r="I1109" s="2"/>
      <c r="J1109" s="1"/>
      <c r="K1109" s="2"/>
    </row>
    <row r="1110" spans="1:11" ht="47.25" x14ac:dyDescent="0.25">
      <c r="A1110" s="1" t="str">
        <f>"365/2013"</f>
        <v>365/2013</v>
      </c>
      <c r="B1110" s="1" t="s">
        <v>14</v>
      </c>
      <c r="C1110" s="1" t="s">
        <v>2370</v>
      </c>
      <c r="D1110" s="1" t="str">
        <f>CONCATENATE("1633-2013-EMV",CHAR(10),"2013/S 002-0049979 od 03.06.2013.")</f>
        <v>1633-2013-EMV
2013/S 002-0049979 od 03.06.2013.</v>
      </c>
      <c r="E1110" s="1" t="s">
        <v>15</v>
      </c>
      <c r="F1110" s="1" t="str">
        <f>"117.800,00"</f>
        <v>117.800,00</v>
      </c>
      <c r="G1110" s="1" t="str">
        <f>CONCATENATE("13.08.2013.",CHAR(10),"5 mjeseci")</f>
        <v>13.08.2013.
5 mjeseci</v>
      </c>
      <c r="H1110" s="1" t="str">
        <f>CONCATENATE("PROING D.O.O., ZAGREB")</f>
        <v>PROING D.O.O., ZAGREB</v>
      </c>
      <c r="I1110" s="1" t="s">
        <v>90</v>
      </c>
      <c r="J1110" s="1" t="str">
        <f>SUBSTITUTE(SUBSTITUTE(SUBSTITUTE("147,250.00",".","-"),",","."),"-",",")</f>
        <v>147.250,00</v>
      </c>
      <c r="K1110" s="2"/>
    </row>
    <row r="1111" spans="1:11" ht="47.25" x14ac:dyDescent="0.25">
      <c r="A1111" s="1" t="str">
        <f>"366/2013"</f>
        <v>366/2013</v>
      </c>
      <c r="B1111" s="1" t="s">
        <v>14</v>
      </c>
      <c r="C1111" s="1" t="s">
        <v>2371</v>
      </c>
      <c r="D1111" s="1" t="str">
        <f>CONCATENATE("1270-2013-EVV",CHAR(10),"2013/S 002-0035197 od 16.04.2013.")</f>
        <v>1270-2013-EVV
2013/S 002-0035197 od 16.04.2013.</v>
      </c>
      <c r="E1111" s="1" t="s">
        <v>15</v>
      </c>
      <c r="F1111" s="1" t="str">
        <f>"4.496.596,30"</f>
        <v>4.496.596,30</v>
      </c>
      <c r="G1111" s="1" t="str">
        <f>CONCATENATE("13.08.2013.",CHAR(10),"3 mjeseca")</f>
        <v>13.08.2013.
3 mjeseca</v>
      </c>
      <c r="H1111" s="1" t="str">
        <f>CONCATENATE("ELICOM D.O.O., ZAGREB")</f>
        <v>ELICOM D.O.O., ZAGREB</v>
      </c>
      <c r="I1111" s="1" t="s">
        <v>428</v>
      </c>
      <c r="J1111" s="1" t="str">
        <f>SUBSTITUTE(SUBSTITUTE(SUBSTITUTE("5,606,504.39",".","-"),",","."),"-",",")</f>
        <v>5.606.504,39</v>
      </c>
      <c r="K1111" s="2"/>
    </row>
    <row r="1112" spans="1:11" ht="47.25" x14ac:dyDescent="0.25">
      <c r="A1112" s="1" t="str">
        <f>"367/2013"</f>
        <v>367/2013</v>
      </c>
      <c r="B1112" s="1" t="s">
        <v>26</v>
      </c>
      <c r="C1112" s="1" t="s">
        <v>2372</v>
      </c>
      <c r="D1112" s="1" t="str">
        <f>"111-2012-EMV"</f>
        <v>111-2012-EMV</v>
      </c>
      <c r="E1112" s="2"/>
      <c r="F1112" s="1" t="str">
        <f>"28.050,00"</f>
        <v>28.050,00</v>
      </c>
      <c r="G1112" s="1" t="str">
        <f>CONCATENATE("14.08.2013.",CHAR(10)," 12 mjeseci")</f>
        <v>14.08.2013.
 12 mjeseci</v>
      </c>
      <c r="H1112" s="1" t="str">
        <f>CONCATENATE("AUREL D.O.O., ZAGREB")</f>
        <v>AUREL D.O.O., ZAGREB</v>
      </c>
      <c r="I1112" s="1" t="s">
        <v>110</v>
      </c>
      <c r="J1112" s="1" t="str">
        <f>SUBSTITUTE(SUBSTITUTE(SUBSTITUTE("32,481.25",".","-"),",","."),"-",",")</f>
        <v>32.481,25</v>
      </c>
      <c r="K1112" s="2"/>
    </row>
    <row r="1113" spans="1:11" ht="47.25" x14ac:dyDescent="0.25">
      <c r="A1113" s="1" t="str">
        <f>"368/2013"</f>
        <v>368/2013</v>
      </c>
      <c r="B1113" s="1" t="s">
        <v>26</v>
      </c>
      <c r="C1113" s="1" t="s">
        <v>2373</v>
      </c>
      <c r="D1113" s="1" t="str">
        <f>"111-2012-EMV"</f>
        <v>111-2012-EMV</v>
      </c>
      <c r="E1113" s="2"/>
      <c r="F1113" s="1" t="str">
        <f>"20.897,00"</f>
        <v>20.897,00</v>
      </c>
      <c r="G1113" s="1" t="str">
        <f>CONCATENATE("14.08.2013.",CHAR(10),"12 mjeseci")</f>
        <v>14.08.2013.
12 mjeseci</v>
      </c>
      <c r="H1113" s="1" t="str">
        <f>CONCATENATE("MERKANTILE D.D., ZAGREB")</f>
        <v>MERKANTILE D.D., ZAGREB</v>
      </c>
      <c r="I1113" s="1" t="s">
        <v>178</v>
      </c>
      <c r="J1113" s="1" t="str">
        <f>SUBSTITUTE(SUBSTITUTE(SUBSTITUTE("18,438.13",".","-"),",","."),"-",",")</f>
        <v>18.438,13</v>
      </c>
      <c r="K1113" s="2"/>
    </row>
    <row r="1114" spans="1:11" ht="47.25" x14ac:dyDescent="0.25">
      <c r="A1114" s="1" t="str">
        <f>"369/2013"</f>
        <v>369/2013</v>
      </c>
      <c r="B1114" s="1" t="s">
        <v>14</v>
      </c>
      <c r="C1114" s="1" t="s">
        <v>2374</v>
      </c>
      <c r="D1114" s="1" t="str">
        <f>CONCATENATE("1249-2013-EMV",CHAR(10),"2013/S 002-00334311 od 12.04.2013.")</f>
        <v>1249-2013-EMV
2013/S 002-00334311 od 12.04.2013.</v>
      </c>
      <c r="E1114" s="1" t="s">
        <v>15</v>
      </c>
      <c r="F1114" s="1" t="str">
        <f>"158.700,00"</f>
        <v>158.700,00</v>
      </c>
      <c r="G1114" s="1" t="str">
        <f>CONCATENATE("14.08.2013.",CHAR(10),"30 dana")</f>
        <v>14.08.2013.
30 dana</v>
      </c>
      <c r="H1114" s="1" t="str">
        <f>CONCATENATE("MONTEL D.O.O., ZAGREB",CHAR(10),"MGV D.O.O., ZAGREB")</f>
        <v>MONTEL D.O.O., ZAGREB
MGV D.O.O., ZAGREB</v>
      </c>
      <c r="I1114" s="1" t="s">
        <v>296</v>
      </c>
      <c r="J1114" s="1" t="str">
        <f>SUBSTITUTE(SUBSTITUTE(SUBSTITUTE("198,351.48",".","-"),",","."),"-",",")</f>
        <v>198.351,48</v>
      </c>
      <c r="K1114" s="2"/>
    </row>
    <row r="1115" spans="1:11" ht="63" x14ac:dyDescent="0.25">
      <c r="A1115" s="1" t="str">
        <f>"370/2013"</f>
        <v>370/2013</v>
      </c>
      <c r="B1115" s="1" t="s">
        <v>14</v>
      </c>
      <c r="C1115" s="1" t="s">
        <v>2375</v>
      </c>
      <c r="D1115" s="1" t="str">
        <f>CONCATENATE("781-2012-EVV",CHAR(10),"2013/S 002-0005296 od 23.01.2013.")</f>
        <v>781-2012-EVV
2013/S 002-0005296 od 23.01.2013.</v>
      </c>
      <c r="E1115" s="1" t="s">
        <v>15</v>
      </c>
      <c r="F1115" s="1" t="str">
        <f>"1.221.756,50"</f>
        <v>1.221.756,50</v>
      </c>
      <c r="G1115" s="1" t="str">
        <f>CONCATENATE("14.08.2013.",CHAR(10),"sukcesivno po obostranom potpisu ugovora prema kontinuiranim pisanim nalozima")</f>
        <v>14.08.2013.
sukcesivno po obostranom potpisu ugovora prema kontinuiranim pisanim nalozima</v>
      </c>
      <c r="H1115" s="1" t="str">
        <f>CONCATENATE("LIPAPROMET D.O.O., ZAGREB")</f>
        <v>LIPAPROMET D.O.O., ZAGREB</v>
      </c>
      <c r="I1115" s="2"/>
      <c r="J1115" s="1"/>
      <c r="K1115" s="2"/>
    </row>
    <row r="1116" spans="1:11" ht="47.25" x14ac:dyDescent="0.25">
      <c r="A1116" s="1" t="str">
        <f>"371/2013"</f>
        <v>371/2013</v>
      </c>
      <c r="B1116" s="1" t="s">
        <v>14</v>
      </c>
      <c r="C1116" s="1" t="s">
        <v>2376</v>
      </c>
      <c r="D1116" s="1" t="str">
        <f>CONCATENATE("1635-2013-EMV",CHAR(10),"2013/S 002-0040771 od 03.05.2013.")</f>
        <v>1635-2013-EMV
2013/S 002-0040771 od 03.05.2013.</v>
      </c>
      <c r="E1116" s="1" t="s">
        <v>15</v>
      </c>
      <c r="F1116" s="1" t="str">
        <f>"228.126,22"</f>
        <v>228.126,22</v>
      </c>
      <c r="G1116" s="1" t="str">
        <f>CONCATENATE("19.08.2013.",CHAR(10),"6 mjeseci")</f>
        <v>19.08.2013.
6 mjeseci</v>
      </c>
      <c r="H1116" s="1" t="str">
        <f>CONCATENATE("HELB D.O.O., DUGO SELO",CHAR(10),"LAMBOT D.O.O., ZAGREB",CHAR(10),"EKONERG D.O.O., ZAGREB")</f>
        <v>HELB D.O.O., DUGO SELO
LAMBOT D.O.O., ZAGREB
EKONERG D.O.O., ZAGREB</v>
      </c>
      <c r="I1116" s="1" t="s">
        <v>429</v>
      </c>
      <c r="J1116" s="1" t="str">
        <f>SUBSTITUTE(SUBSTITUTE(SUBSTITUTE("285,157.78",".","-"),",","."),"-",",")</f>
        <v>285.157,78</v>
      </c>
      <c r="K1116" s="2"/>
    </row>
    <row r="1117" spans="1:11" ht="47.25" x14ac:dyDescent="0.25">
      <c r="A1117" s="1" t="str">
        <f>"372/2013"</f>
        <v>372/2013</v>
      </c>
      <c r="B1117" s="1" t="s">
        <v>14</v>
      </c>
      <c r="C1117" s="1" t="s">
        <v>2377</v>
      </c>
      <c r="D1117" s="1" t="str">
        <f>CONCATENATE("2196-2013-EMV",CHAR(10),"2013/S 002-0045349 od 16.05.2013.")</f>
        <v>2196-2013-EMV
2013/S 002-0045349 od 16.05.2013.</v>
      </c>
      <c r="E1117" s="1" t="s">
        <v>15</v>
      </c>
      <c r="F1117" s="1" t="str">
        <f>"478.673,00"</f>
        <v>478.673,00</v>
      </c>
      <c r="G1117" s="1" t="str">
        <f>CONCATENATE("19.08.2013.",CHAR(10),"4 mjeseca")</f>
        <v>19.08.2013.
4 mjeseca</v>
      </c>
      <c r="H1117" s="1" t="str">
        <f>CONCATENATE("ALTE GRADNJA D.O.O., VUKOVAR")</f>
        <v>ALTE GRADNJA D.O.O., VUKOVAR</v>
      </c>
      <c r="I1117" s="1" t="s">
        <v>430</v>
      </c>
      <c r="J1117" s="1" t="str">
        <f>SUBSTITUTE(SUBSTITUTE(SUBSTITUTE("598,338.69",".","-"),",","."),"-",",")</f>
        <v>598.338,69</v>
      </c>
      <c r="K1117" s="2"/>
    </row>
    <row r="1118" spans="1:11" ht="47.25" x14ac:dyDescent="0.25">
      <c r="A1118" s="1" t="str">
        <f>"373/2013"</f>
        <v>373/2013</v>
      </c>
      <c r="B1118" s="1" t="s">
        <v>14</v>
      </c>
      <c r="C1118" s="1" t="s">
        <v>2378</v>
      </c>
      <c r="D1118" s="1" t="str">
        <f>CONCATENATE("507-2013-EMV",CHAR(10),"2013/S 002-0026172 od 21.03.2013.")</f>
        <v>507-2013-EMV
2013/S 002-0026172 od 21.03.2013.</v>
      </c>
      <c r="E1118" s="1" t="s">
        <v>15</v>
      </c>
      <c r="F1118" s="1" t="str">
        <f>"884.796,00"</f>
        <v>884.796,00</v>
      </c>
      <c r="G1118" s="1" t="str">
        <f>CONCATENATE("19.08.2013.",CHAR(10),"75 dana")</f>
        <v>19.08.2013.
75 dana</v>
      </c>
      <c r="H1118" s="1" t="str">
        <f>CONCATENATE("DELTRON D.O.O., SPLIT")</f>
        <v>DELTRON D.O.O., SPLIT</v>
      </c>
      <c r="I1118" s="2"/>
      <c r="J1118" s="1"/>
      <c r="K1118" s="2"/>
    </row>
    <row r="1119" spans="1:11" ht="63" x14ac:dyDescent="0.25">
      <c r="A1119" s="1" t="str">
        <f>"374/2013"</f>
        <v>374/2013</v>
      </c>
      <c r="B1119" s="1" t="s">
        <v>14</v>
      </c>
      <c r="C1119" s="1" t="s">
        <v>2379</v>
      </c>
      <c r="D1119" s="1" t="str">
        <f>CONCATENATE("1384-2013-EMV",CHAR(10),"2013/S 002-0048069 od 27.05.2013.")</f>
        <v>1384-2013-EMV
2013/S 002-0048069 od 27.05.2013.</v>
      </c>
      <c r="E1119" s="1" t="s">
        <v>15</v>
      </c>
      <c r="F1119" s="1" t="str">
        <f>"35.200,00"</f>
        <v>35.200,00</v>
      </c>
      <c r="G1119" s="1" t="str">
        <f>CONCATENATE("20.08.2013.",CHAR(10),"2 mjeseca")</f>
        <v>20.08.2013.
2 mjeseca</v>
      </c>
      <c r="H1119" s="1" t="str">
        <f>CONCATENATE("KOPIMA D.O.O, ZAGREB",CHAR(10),"MGV D.O.O., ZAGREB",CHAR(10),"PROJEKTNI BIRO NAGLIĆ D.O.O., ZAGREB")</f>
        <v>KOPIMA D.O.O, ZAGREB
MGV D.O.O., ZAGREB
PROJEKTNI BIRO NAGLIĆ D.O.O., ZAGREB</v>
      </c>
      <c r="I1119" s="1" t="s">
        <v>330</v>
      </c>
      <c r="J1119" s="1" t="str">
        <f>SUBSTITUTE(SUBSTITUTE(SUBSTITUTE("41,450.00",".","-"),",","."),"-",",")</f>
        <v>41.450,00</v>
      </c>
      <c r="K1119" s="2"/>
    </row>
    <row r="1120" spans="1:11" ht="47.25" x14ac:dyDescent="0.25">
      <c r="A1120" s="1" t="str">
        <f>"375/2013"</f>
        <v>375/2013</v>
      </c>
      <c r="B1120" s="1" t="s">
        <v>14</v>
      </c>
      <c r="C1120" s="1" t="s">
        <v>2380</v>
      </c>
      <c r="D1120" s="1" t="str">
        <f>CONCATENATE("1099-2013-EMV",CHAR(10),"2013/S 002-0040442 od 02.05.2013.")</f>
        <v>1099-2013-EMV
2013/S 002-0040442 od 02.05.2013.</v>
      </c>
      <c r="E1120" s="1" t="s">
        <v>15</v>
      </c>
      <c r="F1120" s="1" t="str">
        <f>"190.300,00"</f>
        <v>190.300,00</v>
      </c>
      <c r="G1120" s="1" t="str">
        <f>CONCATENATE("20.08.2013.",CHAR(10),"4 mjeseca")</f>
        <v>20.08.2013.
4 mjeseca</v>
      </c>
      <c r="H1120" s="1" t="str">
        <f>CONCATENATE("O.K.I. MONT D.O.O., ZAGREB")</f>
        <v>O.K.I. MONT D.O.O., ZAGREB</v>
      </c>
      <c r="I1120" s="1" t="s">
        <v>127</v>
      </c>
      <c r="J1120" s="1" t="str">
        <f>SUBSTITUTE(SUBSTITUTE(SUBSTITUTE("193,815.23",".","-"),",","."),"-",",")</f>
        <v>193.815,23</v>
      </c>
      <c r="K1120" s="2"/>
    </row>
    <row r="1121" spans="1:11" ht="78.75" x14ac:dyDescent="0.25">
      <c r="A1121" s="1" t="str">
        <f>"376/2013"</f>
        <v>376/2013</v>
      </c>
      <c r="B1121" s="1" t="s">
        <v>14</v>
      </c>
      <c r="C1121" s="1" t="s">
        <v>2381</v>
      </c>
      <c r="D1121" s="1" t="str">
        <f>CONCATENATE("1121-2013-EMV",CHAR(10),"2013/S 002-0039066 od 26.04.2013. ispravak br. 2013/S 014-0044770 od 16.05.2013.")</f>
        <v>1121-2013-EMV
2013/S 002-0039066 od 26.04.2013. ispravak br. 2013/S 014-0044770 od 16.05.2013.</v>
      </c>
      <c r="E1121" s="1" t="s">
        <v>15</v>
      </c>
      <c r="F1121" s="1" t="str">
        <f>"1.328.180,37"</f>
        <v>1.328.180,37</v>
      </c>
      <c r="G1121" s="1" t="str">
        <f>CONCATENATE("20.08.2013.",CHAR(10),"6 mjeseci")</f>
        <v>20.08.2013.
6 mjeseci</v>
      </c>
      <c r="H1121" s="1" t="str">
        <f>CONCATENATE("TERMORAD D.O.O., ZAGREB")</f>
        <v>TERMORAD D.O.O., ZAGREB</v>
      </c>
      <c r="I1121" s="2"/>
      <c r="J1121" s="1"/>
      <c r="K1121" s="2"/>
    </row>
    <row r="1122" spans="1:11" ht="63" x14ac:dyDescent="0.25">
      <c r="A1122" s="1" t="str">
        <f>"377/2013"</f>
        <v>377/2013</v>
      </c>
      <c r="B1122" s="1" t="s">
        <v>14</v>
      </c>
      <c r="C1122" s="1" t="s">
        <v>2382</v>
      </c>
      <c r="D1122" s="1" t="str">
        <f>CONCATENATE("504-2013-EMV",CHAR(10),"2013/S 002-0034395 od 12.04.2013.")</f>
        <v>504-2013-EMV
2013/S 002-0034395 od 12.04.2013.</v>
      </c>
      <c r="E1122" s="1" t="s">
        <v>15</v>
      </c>
      <c r="F1122" s="1" t="str">
        <f>"1.837.284,50"</f>
        <v>1.837.284,50</v>
      </c>
      <c r="G1122" s="1" t="str">
        <f>CONCATENATE("20.08.2013.",CHAR(10),"60 dana")</f>
        <v>20.08.2013.
60 dana</v>
      </c>
      <c r="H1122" s="1" t="str">
        <f>CONCATENATE("GRADITELJSTVO I TRGOVINA PERIĆ. D.O.O., ZAGREB",CHAR(10),"IND-EKO D.O.O., RIJEKA",CHAR(10),"BRAUCO D.O.O., ZAGREB")</f>
        <v>GRADITELJSTVO I TRGOVINA PERIĆ. D.O.O., ZAGREB
IND-EKO D.O.O., RIJEKA
BRAUCO D.O.O., ZAGREB</v>
      </c>
      <c r="I1122" s="1" t="s">
        <v>431</v>
      </c>
      <c r="J1122" s="1" t="str">
        <f>SUBSTITUTE(SUBSTITUTE(SUBSTITUTE("2,295,748.55",".","-"),",","."),"-",",")</f>
        <v>2.295.748,55</v>
      </c>
      <c r="K1122" s="2"/>
    </row>
    <row r="1123" spans="1:11" ht="63" x14ac:dyDescent="0.25">
      <c r="A1123" s="1" t="str">
        <f>"378/2013"</f>
        <v>378/2013</v>
      </c>
      <c r="B1123" s="1" t="s">
        <v>14</v>
      </c>
      <c r="C1123" s="1" t="s">
        <v>2383</v>
      </c>
      <c r="D1123" s="1" t="str">
        <f>CONCATENATE("175-2013-EMV",CHAR(10),"2013/S 002-0043634 od 14.05.2013.")</f>
        <v>175-2013-EMV
2013/S 002-0043634 od 14.05.2013.</v>
      </c>
      <c r="E1123" s="1" t="s">
        <v>15</v>
      </c>
      <c r="F1123" s="1" t="str">
        <f>"64.363,00"</f>
        <v>64.363,00</v>
      </c>
      <c r="G1123" s="1" t="str">
        <f>CONCATENATE("21.08.2013.",CHAR(10),"12  mjeseci")</f>
        <v>21.08.2013.
12  mjeseci</v>
      </c>
      <c r="H1123" s="1" t="str">
        <f>CONCATENATE("URIHO - USTANOVA ZA PROFESIONALNU REHABILITACIJU I ZAPOŠLJAVANJE OSOBA S INVALIDITETOM, ZAGREB")</f>
        <v>URIHO - USTANOVA ZA PROFESIONALNU REHABILITACIJU I ZAPOŠLJAVANJE OSOBA S INVALIDITETOM, ZAGREB</v>
      </c>
      <c r="I1123" s="1" t="s">
        <v>432</v>
      </c>
      <c r="J1123" s="1" t="str">
        <f>SUBSTITUTE(SUBSTITUTE(SUBSTITUTE("80,402.50",".","-"),",","."),"-",",")</f>
        <v>80.402,50</v>
      </c>
      <c r="K1123" s="2"/>
    </row>
    <row r="1124" spans="1:11" ht="126" x14ac:dyDescent="0.25">
      <c r="A1124" s="1" t="str">
        <f>"379/2013"</f>
        <v>379/2013</v>
      </c>
      <c r="B1124" s="1" t="s">
        <v>14</v>
      </c>
      <c r="C1124" s="1" t="s">
        <v>2384</v>
      </c>
      <c r="D1124" s="1" t="str">
        <f>CONCATENATE("1101-2013-EVV",CHAR(10),"2013/S 002-0040899 od 03.05.2013., ispravak 2013/S 014-0050696 od 05.06.2013 i ispravak 2013/S 014-0054046 od 14.06.2013.")</f>
        <v>1101-2013-EVV
2013/S 002-0040899 od 03.05.2013., ispravak 2013/S 014-0050696 od 05.06.2013 i ispravak 2013/S 014-0054046 od 14.06.2013.</v>
      </c>
      <c r="E1124" s="1" t="s">
        <v>15</v>
      </c>
      <c r="F1124" s="1" t="str">
        <f>"64.633.459,79"</f>
        <v>64.633.459,79</v>
      </c>
      <c r="G1124" s="1" t="str">
        <f>CONCATENATE("22.08.2013.",CHAR(10),"18 mjeseci")</f>
        <v>22.08.2013.
18 mjeseci</v>
      </c>
      <c r="H1124" s="1" t="str">
        <f>CONCATENATE("GRADNJA D.O.O., OSIJEK",CHAR(10),"ZAGREB-MONTAŽA D.O.O., ZAGREB",CHAR(10),"TEHNOZAVOD MARUŠIĆ D.O.O., ZAGREB",CHAR(10),"ZAVOD ZA ISPITIVANJE KVALITETE D.O.O., ZAGREB",CHAR(10),"ZAVOD ZA UNAPREĐIVANJE SIGURNOSTI D.D., OSIJEK")</f>
        <v>GRADNJA D.O.O., OSIJEK
ZAGREB-MONTAŽA D.O.O., ZAGREB
TEHNOZAVOD MARUŠIĆ D.O.O., ZAGREB
ZAVOD ZA ISPITIVANJE KVALITETE D.O.O., ZAGREB
ZAVOD ZA UNAPREĐIVANJE SIGURNOSTI D.D., OSIJEK</v>
      </c>
      <c r="I1124" s="2"/>
      <c r="J1124" s="1"/>
      <c r="K1124" s="2"/>
    </row>
    <row r="1125" spans="1:11" ht="63" x14ac:dyDescent="0.25">
      <c r="A1125" s="1" t="str">
        <f>"380/2013"</f>
        <v>380/2013</v>
      </c>
      <c r="B1125" s="1" t="s">
        <v>26</v>
      </c>
      <c r="C1125" s="1" t="s">
        <v>2385</v>
      </c>
      <c r="D1125" s="1" t="str">
        <f>"111-2012-EMV"</f>
        <v>111-2012-EMV</v>
      </c>
      <c r="E1125" s="2"/>
      <c r="F1125" s="1" t="str">
        <f>"47.175,00"</f>
        <v>47.175,00</v>
      </c>
      <c r="G1125" s="1" t="str">
        <f>CONCATENATE("21.08.2013.",CHAR(10),"tijekom 12 mjeseci")</f>
        <v>21.08.2013.
tijekom 12 mjeseci</v>
      </c>
      <c r="H1125" s="1" t="str">
        <f>CONCATENATE("ABSOLUTE ALARMI, ZAGREB")</f>
        <v>ABSOLUTE ALARMI, ZAGREB</v>
      </c>
      <c r="I1125" s="1" t="s">
        <v>182</v>
      </c>
      <c r="J1125" s="1" t="str">
        <f>SUBSTITUTE(SUBSTITUTE(SUBSTITUTE("44,661.13",".","-"),",","."),"-",",")</f>
        <v>44.661,13</v>
      </c>
      <c r="K1125" s="2"/>
    </row>
    <row r="1126" spans="1:11" ht="47.25" x14ac:dyDescent="0.25">
      <c r="A1126" s="1" t="str">
        <f>"381/2013"</f>
        <v>381/2013</v>
      </c>
      <c r="B1126" s="1" t="s">
        <v>14</v>
      </c>
      <c r="C1126" s="1" t="s">
        <v>2386</v>
      </c>
      <c r="D1126" s="1" t="str">
        <f>CONCATENATE("1525-2013-EMV",CHAR(10),"2013/S 002-0055135 od 19.06.2013.")</f>
        <v>1525-2013-EMV
2013/S 002-0055135 od 19.06.2013.</v>
      </c>
      <c r="E1126" s="1" t="s">
        <v>15</v>
      </c>
      <c r="F1126" s="1" t="str">
        <f>"204.000,00"</f>
        <v>204.000,00</v>
      </c>
      <c r="G1126" s="1" t="str">
        <f>CONCATENATE("22.08.2013.",CHAR(10),"12 mjeseci")</f>
        <v>22.08.2013.
12 mjeseci</v>
      </c>
      <c r="H1126" s="1" t="str">
        <f>CONCATENATE("PIRAMIDA K.K.D. D.O.O., ZAGREB")</f>
        <v>PIRAMIDA K.K.D. D.O.O., ZAGREB</v>
      </c>
      <c r="I1126" s="1" t="s">
        <v>110</v>
      </c>
      <c r="J1126" s="1" t="str">
        <f>SUBSTITUTE(SUBSTITUTE(SUBSTITUTE("255,000.00",".","-"),",","."),"-",",")</f>
        <v>255.000,00</v>
      </c>
      <c r="K1126" s="2"/>
    </row>
    <row r="1127" spans="1:11" ht="78.75" x14ac:dyDescent="0.25">
      <c r="A1127" s="1" t="str">
        <f>"382/2013"</f>
        <v>382/2013</v>
      </c>
      <c r="B1127" s="1" t="s">
        <v>14</v>
      </c>
      <c r="C1127" s="1" t="s">
        <v>2387</v>
      </c>
      <c r="D1127" s="1" t="str">
        <f>CONCATENATE("1697-2013-EMV",CHAR(10),"2013/S 002-0043705 od 14.05.2013. i ispravak 2013/S 014-0050059 od 03.06.2013.")</f>
        <v>1697-2013-EMV
2013/S 002-0043705 od 14.05.2013. i ispravak 2013/S 014-0050059 od 03.06.2013.</v>
      </c>
      <c r="E1127" s="1" t="s">
        <v>15</v>
      </c>
      <c r="F1127" s="1" t="str">
        <f>"279.697,00"</f>
        <v>279.697,00</v>
      </c>
      <c r="G1127" s="1" t="str">
        <f>CONCATENATE("23.08.2013.",CHAR(10),"60 dana")</f>
        <v>23.08.2013.
60 dana</v>
      </c>
      <c r="H1127" s="1" t="str">
        <f>CONCATENATE("TERMOINŽENJERING-MONTAŽA D.D., DONJA BISTRA")</f>
        <v>TERMOINŽENJERING-MONTAŽA D.D., DONJA BISTRA</v>
      </c>
      <c r="I1127" s="1" t="s">
        <v>195</v>
      </c>
      <c r="J1127" s="1" t="str">
        <f>SUBSTITUTE(SUBSTITUTE(SUBSTITUTE("345,348.65",".","-"),",","."),"-",",")</f>
        <v>345.348,65</v>
      </c>
      <c r="K1127" s="2"/>
    </row>
    <row r="1128" spans="1:11" ht="47.25" x14ac:dyDescent="0.25">
      <c r="A1128" s="1" t="str">
        <f>"383/2013"</f>
        <v>383/2013</v>
      </c>
      <c r="B1128" s="1" t="s">
        <v>14</v>
      </c>
      <c r="C1128" s="1" t="s">
        <v>2388</v>
      </c>
      <c r="D1128" s="1" t="str">
        <f>CONCATENATE("1956-2013-EMV",CHAR(10),"2013/S 002-0048016 od 27.05.2013.")</f>
        <v>1956-2013-EMV
2013/S 002-0048016 od 27.05.2013.</v>
      </c>
      <c r="E1128" s="1" t="s">
        <v>15</v>
      </c>
      <c r="F1128" s="1" t="str">
        <f>"318.200,00"</f>
        <v>318.200,00</v>
      </c>
      <c r="G1128" s="1" t="str">
        <f>CONCATENATE("26.08.2013.",CHAR(10),"3 mjeseca")</f>
        <v>26.08.2013.
3 mjeseca</v>
      </c>
      <c r="H1128" s="1" t="str">
        <f>CONCATENATE("FOTON PROMET D.O.O., SESVETE")</f>
        <v>FOTON PROMET D.O.O., SESVETE</v>
      </c>
      <c r="I1128" s="1" t="s">
        <v>385</v>
      </c>
      <c r="J1128" s="1" t="str">
        <f>SUBSTITUTE(SUBSTITUTE(SUBSTITUTE("397,500.00",".","-"),",","."),"-",",")</f>
        <v>397.500,00</v>
      </c>
      <c r="K1128" s="2"/>
    </row>
    <row r="1129" spans="1:11" ht="47.25" x14ac:dyDescent="0.25">
      <c r="A1129" s="1" t="str">
        <f>"384/2013"</f>
        <v>384/2013</v>
      </c>
      <c r="B1129" s="1" t="s">
        <v>14</v>
      </c>
      <c r="C1129" s="1" t="s">
        <v>887</v>
      </c>
      <c r="D1129" s="1" t="str">
        <f>CONCATENATE("483-2013-EMV",CHAR(10),"2013/S 002-0057058 od 26.06.2013.")</f>
        <v>483-2013-EMV
2013/S 002-0057058 od 26.06.2013.</v>
      </c>
      <c r="E1129" s="1" t="s">
        <v>15</v>
      </c>
      <c r="F1129" s="1" t="str">
        <f>"172.575,00"</f>
        <v>172.575,00</v>
      </c>
      <c r="G1129" s="1" t="str">
        <f>CONCATENATE("26.08.2013.",CHAR(10),"od 02.09.2013. do 30.06.2014.")</f>
        <v>26.08.2013.
od 02.09.2013. do 30.06.2014.</v>
      </c>
      <c r="H1129" s="1" t="str">
        <f>CONCATENATE("AUTOTURIST SAMOBOR D.O.O., SAMOBOR")</f>
        <v>AUTOTURIST SAMOBOR D.O.O., SAMOBOR</v>
      </c>
      <c r="I1129" s="1" t="s">
        <v>254</v>
      </c>
      <c r="J1129" s="1" t="str">
        <f>SUBSTITUTE(SUBSTITUTE(SUBSTITUTE("192,487.50",".","-"),",","."),"-",",")</f>
        <v>192.487,50</v>
      </c>
      <c r="K1129" s="2"/>
    </row>
    <row r="1130" spans="1:11" ht="47.25" x14ac:dyDescent="0.25">
      <c r="A1130" s="1" t="str">
        <f>"385/2013"</f>
        <v>385/2013</v>
      </c>
      <c r="B1130" s="1" t="s">
        <v>14</v>
      </c>
      <c r="C1130" s="1" t="s">
        <v>2389</v>
      </c>
      <c r="D1130" s="1" t="str">
        <f>CONCATENATE("1228-2013-EMV",CHAR(10),"2013/S 002-00051402 od 06.06.2013.")</f>
        <v>1228-2013-EMV
2013/S 002-00051402 od 06.06.2013.</v>
      </c>
      <c r="E1130" s="1" t="s">
        <v>15</v>
      </c>
      <c r="F1130" s="1" t="str">
        <f>"213.175,00"</f>
        <v>213.175,00</v>
      </c>
      <c r="G1130" s="1" t="str">
        <f>CONCATENATE("26.08.2013.",CHAR(10),"30 dana")</f>
        <v>26.08.2013.
30 dana</v>
      </c>
      <c r="H1130" s="1" t="str">
        <f>CONCATENATE("MONTEL D.O.O., ZAGREB",CHAR(10),"MGV D.O.O., ZAGREB")</f>
        <v>MONTEL D.O.O., ZAGREB
MGV D.O.O., ZAGREB</v>
      </c>
      <c r="I1130" s="2"/>
      <c r="J1130" s="1"/>
      <c r="K1130" s="2"/>
    </row>
    <row r="1131" spans="1:11" ht="31.5" x14ac:dyDescent="0.25">
      <c r="A1131" s="1" t="str">
        <f>"386/2013"</f>
        <v>386/2013</v>
      </c>
      <c r="B1131" s="1" t="s">
        <v>26</v>
      </c>
      <c r="C1131" s="1" t="s">
        <v>2390</v>
      </c>
      <c r="D1131" s="1" t="str">
        <f>"111-2012-EMV"</f>
        <v>111-2012-EMV</v>
      </c>
      <c r="E1131" s="2"/>
      <c r="F1131" s="1" t="str">
        <f>"5.477,50"</f>
        <v>5.477,50</v>
      </c>
      <c r="G1131" s="1" t="str">
        <f>CONCATENATE("26.08.2013.",CHAR(10),"12 mjeseci")</f>
        <v>26.08.2013.
12 mjeseci</v>
      </c>
      <c r="H1131" s="1" t="str">
        <f>CONCATENATE("ALARM AUTOMATIKA D.O.O., RIJEKA")</f>
        <v>ALARM AUTOMATIKA D.O.O., RIJEKA</v>
      </c>
      <c r="I1131" s="1" t="s">
        <v>179</v>
      </c>
      <c r="J1131" s="1" t="str">
        <f>SUBSTITUTE(SUBSTITUTE(SUBSTITUTE("4,734.75",".","-"),",","."),"-",",")</f>
        <v>4.734,75</v>
      </c>
      <c r="K1131" s="2"/>
    </row>
    <row r="1132" spans="1:11" ht="47.25" x14ac:dyDescent="0.25">
      <c r="A1132" s="1" t="str">
        <f>"387/2013"</f>
        <v>387/2013</v>
      </c>
      <c r="B1132" s="1" t="s">
        <v>14</v>
      </c>
      <c r="C1132" s="1" t="s">
        <v>2391</v>
      </c>
      <c r="D1132" s="1" t="str">
        <f>CONCATENATE("1524-2013-EMV",CHAR(10),"2013/S 002-0049320 od 29.05.2013.")</f>
        <v>1524-2013-EMV
2013/S 002-0049320 od 29.05.2013.</v>
      </c>
      <c r="E1132" s="1" t="s">
        <v>15</v>
      </c>
      <c r="F1132" s="1" t="str">
        <f>"84.498,00"</f>
        <v>84.498,00</v>
      </c>
      <c r="G1132" s="1" t="str">
        <f>CONCATENATE("26.08.2013.",CHAR(10),"1 godina")</f>
        <v>26.08.2013.
1 godina</v>
      </c>
      <c r="H1132" s="1" t="str">
        <f>CONCATENATE("CONTROL ENGINEERING D.O.O., RIJEKA")</f>
        <v>CONTROL ENGINEERING D.O.O., RIJEKA</v>
      </c>
      <c r="I1132" s="1" t="s">
        <v>433</v>
      </c>
      <c r="J1132" s="1" t="str">
        <f>SUBSTITUTE(SUBSTITUTE(SUBSTITUTE("21,000.00",".","-"),",","."),"-",",")</f>
        <v>21.000,00</v>
      </c>
      <c r="K1132" s="2"/>
    </row>
    <row r="1133" spans="1:11" ht="63" x14ac:dyDescent="0.25">
      <c r="A1133" s="1" t="str">
        <f>"388/2013"</f>
        <v>388/2013</v>
      </c>
      <c r="B1133" s="1" t="s">
        <v>14</v>
      </c>
      <c r="C1133" s="1" t="s">
        <v>2392</v>
      </c>
      <c r="D1133" s="1" t="str">
        <f>CONCATENATE("494-2013-EMV",CHAR(10),"2013/S 002-0042083 od 08.05.2013., 2013/S 014-0044737 od 16.05.2013.")</f>
        <v>494-2013-EMV
2013/S 002-0042083 od 08.05.2013., 2013/S 014-0044737 od 16.05.2013.</v>
      </c>
      <c r="E1133" s="1" t="s">
        <v>15</v>
      </c>
      <c r="F1133" s="1" t="str">
        <f>"245.270,76"</f>
        <v>245.270,76</v>
      </c>
      <c r="G1133" s="1" t="str">
        <f>CONCATENATE("26.08.2013.",CHAR(10),"30 dana")</f>
        <v>26.08.2013.
30 dana</v>
      </c>
      <c r="H1133" s="1" t="str">
        <f>CONCATENATE("SLIV OPREMA D.O.O., ZAGREB")</f>
        <v>SLIV OPREMA D.O.O., ZAGREB</v>
      </c>
      <c r="I1133" s="1" t="s">
        <v>154</v>
      </c>
      <c r="J1133" s="1" t="str">
        <f>SUBSTITUTE(SUBSTITUTE(SUBSTITUTE("306,588.45",".","-"),",","."),"-",",")</f>
        <v>306.588,45</v>
      </c>
      <c r="K1133" s="2"/>
    </row>
    <row r="1134" spans="1:11" ht="63" x14ac:dyDescent="0.25">
      <c r="A1134" s="1" t="str">
        <f>"389/2013"</f>
        <v>389/2013</v>
      </c>
      <c r="B1134" s="1" t="s">
        <v>14</v>
      </c>
      <c r="C1134" s="1" t="s">
        <v>2393</v>
      </c>
      <c r="D1134" s="1" t="str">
        <f>CONCATENATE("203-2013-EMV",CHAR(10),"2013/S 002-0026794 od 22.03.2013.")</f>
        <v>203-2013-EMV
2013/S 002-0026794 od 22.03.2013.</v>
      </c>
      <c r="E1134" s="1" t="s">
        <v>15</v>
      </c>
      <c r="F1134" s="1" t="str">
        <f>"458.920,00"</f>
        <v>458.920,00</v>
      </c>
      <c r="G1134" s="1" t="str">
        <f>CONCATENATE("26.08.2013.",CHAR(10),"180 dana")</f>
        <v>26.08.2013.
180 dana</v>
      </c>
      <c r="H1134" s="1" t="str">
        <f>CONCATENATE("ABSOLUTE D.O.O., ZAGREB")</f>
        <v>ABSOLUTE D.O.O., ZAGREB</v>
      </c>
      <c r="I1134" s="1" t="s">
        <v>377</v>
      </c>
      <c r="J1134" s="1" t="str">
        <f>SUBSTITUTE(SUBSTITUTE(SUBSTITUTE("549,278.75",".","-"),",","."),"-",",")</f>
        <v>549.278,75</v>
      </c>
      <c r="K1134" s="2"/>
    </row>
    <row r="1135" spans="1:11" ht="63" x14ac:dyDescent="0.25">
      <c r="A1135" s="1" t="str">
        <f>"390/2013"</f>
        <v>390/2013</v>
      </c>
      <c r="B1135" s="1" t="s">
        <v>14</v>
      </c>
      <c r="C1135" s="1" t="s">
        <v>2394</v>
      </c>
      <c r="D1135" s="1" t="str">
        <f>CONCATENATE("11-2013-EMV",CHAR(10),"2013/S 002-0059871 od 04.07.2013.")</f>
        <v>11-2013-EMV
2013/S 002-0059871 od 04.07.2013.</v>
      </c>
      <c r="E1135" s="1" t="s">
        <v>40</v>
      </c>
      <c r="F1135" s="1" t="str">
        <f>"572.330,00"</f>
        <v>572.330,00</v>
      </c>
      <c r="G1135" s="1" t="str">
        <f>CONCATENATE("31.07.2013.",CHAR(10),"od dana obostranog potpisa Ugovora do konačnog izvršenja usluge")</f>
        <v>31.07.2013.
od dana obostranog potpisa Ugovora do konačnog izvršenja usluge</v>
      </c>
      <c r="H1135" s="1" t="str">
        <f>CONCATENATE("POLIKLINIKA ZA REHABILITACIJU SLUŠANJA I GOVORA SUVAG, ZAGREB")</f>
        <v>POLIKLINIKA ZA REHABILITACIJU SLUŠANJA I GOVORA SUVAG, ZAGREB</v>
      </c>
      <c r="I1135" s="1" t="s">
        <v>434</v>
      </c>
      <c r="J1135" s="1" t="str">
        <f>SUBSTITUTE(SUBSTITUTE(SUBSTITUTE("403,920.00",".","-"),",","."),"-",",")</f>
        <v>403.920,00</v>
      </c>
      <c r="K1135" s="2"/>
    </row>
    <row r="1136" spans="1:11" ht="47.25" x14ac:dyDescent="0.25">
      <c r="A1136" s="1" t="str">
        <f>"391/2013"</f>
        <v>391/2013</v>
      </c>
      <c r="B1136" s="1" t="s">
        <v>14</v>
      </c>
      <c r="C1136" s="1" t="s">
        <v>2395</v>
      </c>
      <c r="D1136" s="1" t="str">
        <f>CONCATENATE("1388-2013-EMV",CHAR(10),"2013/S-002-0047236 od 23.05.2013.")</f>
        <v>1388-2013-EMV
2013/S-002-0047236 od 23.05.2013.</v>
      </c>
      <c r="E1136" s="1" t="s">
        <v>15</v>
      </c>
      <c r="F1136" s="1" t="str">
        <f>"104.437,17"</f>
        <v>104.437,17</v>
      </c>
      <c r="G1136" s="1" t="str">
        <f>CONCATENATE("27.08.2013.",CHAR(10),"45 dana")</f>
        <v>27.08.2013.
45 dana</v>
      </c>
      <c r="H1136" s="1" t="str">
        <f>CONCATENATE("NERING D.O.O., SESVETE")</f>
        <v>NERING D.O.O., SESVETE</v>
      </c>
      <c r="I1136" s="1" t="s">
        <v>435</v>
      </c>
      <c r="J1136" s="1" t="str">
        <f>SUBSTITUTE(SUBSTITUTE(SUBSTITUTE("130,030.30",".","-"),",","."),"-",",")</f>
        <v>130.030,30</v>
      </c>
      <c r="K1136" s="2"/>
    </row>
    <row r="1137" spans="1:11" ht="47.25" x14ac:dyDescent="0.25">
      <c r="A1137" s="1" t="str">
        <f>"392/2013"</f>
        <v>392/2013</v>
      </c>
      <c r="B1137" s="1" t="s">
        <v>14</v>
      </c>
      <c r="C1137" s="1" t="s">
        <v>2396</v>
      </c>
      <c r="D1137" s="1" t="str">
        <f>CONCATENATE("1395-2013-EMV",CHAR(10),"2013/S 002-0048610 od 28.05.2013.")</f>
        <v>1395-2013-EMV
2013/S 002-0048610 od 28.05.2013.</v>
      </c>
      <c r="E1137" s="1" t="s">
        <v>15</v>
      </c>
      <c r="F1137" s="1" t="str">
        <f>"395.556,60"</f>
        <v>395.556,60</v>
      </c>
      <c r="G1137" s="1" t="str">
        <f>CONCATENATE("27.08.2013.",CHAR(10),"40 dana")</f>
        <v>27.08.2013.
40 dana</v>
      </c>
      <c r="H1137" s="1" t="str">
        <f>CONCATENATE("M. SOLDO D.O.O., ZAGREB",CHAR(10),"GEOGIS D.O.O., ZAGREB")</f>
        <v>M. SOLDO D.O.O., ZAGREB
GEOGIS D.O.O., ZAGREB</v>
      </c>
      <c r="I1137" s="2"/>
      <c r="J1137" s="1"/>
      <c r="K1137" s="2"/>
    </row>
    <row r="1138" spans="1:11" ht="47.25" x14ac:dyDescent="0.25">
      <c r="A1138" s="1" t="str">
        <f>"393/2013"</f>
        <v>393/2013</v>
      </c>
      <c r="B1138" s="1" t="s">
        <v>26</v>
      </c>
      <c r="C1138" s="1" t="s">
        <v>2397</v>
      </c>
      <c r="D1138" s="1" t="str">
        <f>"111-2012-EMV"</f>
        <v>111-2012-EMV</v>
      </c>
      <c r="E1138" s="2"/>
      <c r="F1138" s="1" t="str">
        <f>"8.579,00"</f>
        <v>8.579,00</v>
      </c>
      <c r="G1138" s="1" t="str">
        <f>CONCATENATE("28.08.2013.",CHAR(10),"12 mjeseci")</f>
        <v>28.08.2013.
12 mjeseci</v>
      </c>
      <c r="H1138" s="1" t="str">
        <f>CONCATENATE("TEHNOPLAM D.O.O., ZAGREB")</f>
        <v>TEHNOPLAM D.O.O., ZAGREB</v>
      </c>
      <c r="I1138" s="1" t="s">
        <v>181</v>
      </c>
      <c r="J1138" s="1" t="str">
        <f>SUBSTITUTE(SUBSTITUTE(SUBSTITUTE("8,718.75",".","-"),",","."),"-",",")</f>
        <v>8.718,75</v>
      </c>
      <c r="K1138" s="2"/>
    </row>
    <row r="1139" spans="1:11" ht="78.75" x14ac:dyDescent="0.25">
      <c r="A1139" s="1" t="str">
        <f>"394/2013"</f>
        <v>394/2013</v>
      </c>
      <c r="B1139" s="1" t="s">
        <v>14</v>
      </c>
      <c r="C1139" s="1" t="s">
        <v>2398</v>
      </c>
      <c r="D1139" s="1" t="str">
        <f>CONCATENATE("1526-2013-EMV",CHAR(10),"2013/S 002-0053993 od 14.06.2013., te ispravak 2013/S 014-0056067 od 21.06.2013.")</f>
        <v>1526-2013-EMV
2013/S 002-0053993 od 14.06.2013., te ispravak 2013/S 014-0056067 od 21.06.2013.</v>
      </c>
      <c r="E1139" s="1" t="s">
        <v>15</v>
      </c>
      <c r="F1139" s="1" t="str">
        <f>"65.562,00"</f>
        <v>65.562,00</v>
      </c>
      <c r="G1139" s="1" t="str">
        <f>CONCATENATE("28.08.2013.",CHAR(10),"60 dana")</f>
        <v>28.08.2013.
60 dana</v>
      </c>
      <c r="H1139" s="1" t="str">
        <f>CONCATENATE("DRAGER SAFETY D.O.O., ZAGREB")</f>
        <v>DRAGER SAFETY D.O.O., ZAGREB</v>
      </c>
      <c r="I1139" s="1" t="s">
        <v>365</v>
      </c>
      <c r="J1139" s="1" t="str">
        <f>SUBSTITUTE(SUBSTITUTE(SUBSTITUTE("65,562.00",".","-"),",","."),"-",",")</f>
        <v>65.562,00</v>
      </c>
      <c r="K1139" s="2"/>
    </row>
    <row r="1140" spans="1:11" ht="47.25" x14ac:dyDescent="0.25">
      <c r="A1140" s="1" t="str">
        <f>"395/2013"</f>
        <v>395/2013</v>
      </c>
      <c r="B1140" s="1" t="s">
        <v>14</v>
      </c>
      <c r="C1140" s="1" t="s">
        <v>2399</v>
      </c>
      <c r="D1140" s="1" t="str">
        <f>CONCATENATE("1234-2013-EMV",CHAR(10),"2013/S 002-0035931 od 18.04.2013.")</f>
        <v>1234-2013-EMV
2013/S 002-0035931 od 18.04.2013.</v>
      </c>
      <c r="E1140" s="1" t="s">
        <v>15</v>
      </c>
      <c r="F1140" s="1" t="str">
        <f>"108.051,05"</f>
        <v>108.051,05</v>
      </c>
      <c r="G1140" s="1" t="str">
        <f>CONCATENATE("28.08.2013.",CHAR(10),"60 dana")</f>
        <v>28.08.2013.
60 dana</v>
      </c>
      <c r="H1140" s="1" t="str">
        <f>CONCATENATE("ELEKTROKEM D.O.O., SESVETE",CHAR(10),"GEO-INFORMATIČKI STUDIO D.O.O., ZAGREB")</f>
        <v>ELEKTROKEM D.O.O., SESVETE
GEO-INFORMATIČKI STUDIO D.O.O., ZAGREB</v>
      </c>
      <c r="I1140" s="2"/>
      <c r="J1140" s="1"/>
      <c r="K1140" s="2"/>
    </row>
    <row r="1141" spans="1:11" ht="47.25" x14ac:dyDescent="0.25">
      <c r="A1141" s="1" t="str">
        <f>"396/2013"</f>
        <v>396/2013</v>
      </c>
      <c r="B1141" s="1" t="s">
        <v>14</v>
      </c>
      <c r="C1141" s="1" t="s">
        <v>2400</v>
      </c>
      <c r="D1141" s="1" t="str">
        <f>CONCATENATE("175-2013-EMV",CHAR(10),"2013/S 002-0043634 od 14.05.2013.")</f>
        <v>175-2013-EMV
2013/S 002-0043634 od 14.05.2013.</v>
      </c>
      <c r="E1141" s="1" t="s">
        <v>15</v>
      </c>
      <c r="F1141" s="1" t="str">
        <f>"56.782,00"</f>
        <v>56.782,00</v>
      </c>
      <c r="G1141" s="1" t="str">
        <f>CONCATENATE("28.08.2013.",CHAR(10),"12 mjeseci")</f>
        <v>28.08.2013.
12 mjeseci</v>
      </c>
      <c r="H1141" s="1" t="str">
        <f>CONCATENATE("OBUĆA VIKO D.O.O., VARAŽDIN")</f>
        <v>OBUĆA VIKO D.O.O., VARAŽDIN</v>
      </c>
      <c r="I1141" s="1" t="s">
        <v>436</v>
      </c>
      <c r="J1141" s="1" t="str">
        <f>SUBSTITUTE(SUBSTITUTE(SUBSTITUTE("70,441.25",".","-"),",","."),"-",",")</f>
        <v>70.441,25</v>
      </c>
      <c r="K1141" s="2"/>
    </row>
    <row r="1142" spans="1:11" ht="94.5" x14ac:dyDescent="0.25">
      <c r="A1142" s="1" t="str">
        <f>"397/2013"</f>
        <v>397/2013</v>
      </c>
      <c r="B1142" s="1" t="s">
        <v>26</v>
      </c>
      <c r="C1142" s="1" t="s">
        <v>2401</v>
      </c>
      <c r="D1142" s="1" t="str">
        <f>"136-2012-EVV"</f>
        <v>136-2012-EVV</v>
      </c>
      <c r="E1142" s="2"/>
      <c r="F1142" s="1" t="str">
        <f>"2.012.400,00"</f>
        <v>2.012.400,00</v>
      </c>
      <c r="G1142" s="1" t="str">
        <f>CONCATENATE("30.08.2013.",CHAR(10),"1 godina")</f>
        <v>30.08.2013.
1 godina</v>
      </c>
      <c r="H1142" s="1" t="str">
        <f>CONCATENATE("IN2 D.O.O., ZAGREB")</f>
        <v>IN2 D.O.O., ZAGREB</v>
      </c>
      <c r="I1142" s="1" t="s">
        <v>214</v>
      </c>
      <c r="J1142" s="1" t="str">
        <f>SUBSTITUTE(SUBSTITUTE(SUBSTITUTE("2,515,500.00",".","-"),",","."),"-",",")</f>
        <v>2.515.500,00</v>
      </c>
      <c r="K1142" s="2"/>
    </row>
    <row r="1143" spans="1:11" ht="47.25" x14ac:dyDescent="0.25">
      <c r="A1143" s="1" t="str">
        <f>"A-79/2013"</f>
        <v>A-79/2013</v>
      </c>
      <c r="B1143" s="1" t="s">
        <v>11</v>
      </c>
      <c r="C1143" s="1" t="s">
        <v>437</v>
      </c>
      <c r="D1143" s="1" t="str">
        <f>"2467-2012-EMV"</f>
        <v>2467-2012-EMV</v>
      </c>
      <c r="E1143" s="2"/>
      <c r="F1143" s="1" t="str">
        <f>"0,00"</f>
        <v>0,00</v>
      </c>
      <c r="G1143" s="1" t="str">
        <f>CONCATENATE("30.08.2013.",CHAR(10),"16.09.2013.")</f>
        <v>30.08.2013.
16.09.2013.</v>
      </c>
      <c r="H1143" s="1" t="str">
        <f>CONCATENATE("ĆIBO-PROMET D.O.O., DUGO SELO",CHAR(10),"PERVISUS D.O.O., ZAGREB")</f>
        <v>ĆIBO-PROMET D.O.O., DUGO SELO
PERVISUS D.O.O., ZAGREB</v>
      </c>
      <c r="I1143" s="2"/>
      <c r="J1143" s="1"/>
      <c r="K1143" s="2"/>
    </row>
    <row r="1144" spans="1:11" ht="78.75" x14ac:dyDescent="0.25">
      <c r="A1144" s="1" t="str">
        <f>"398/2013"</f>
        <v>398/2013</v>
      </c>
      <c r="B1144" s="1" t="s">
        <v>14</v>
      </c>
      <c r="C1144" s="1" t="s">
        <v>2402</v>
      </c>
      <c r="D1144" s="1" t="str">
        <f>CONCATENATE("2713-2012-EMV",CHAR(10),"2013/S 002-0014268 od 18.02.2013., te ispravak 2013/S 014-0020181 od 06.03.2013.")</f>
        <v>2713-2012-EMV
2013/S 002-0014268 od 18.02.2013., te ispravak 2013/S 014-0020181 od 06.03.2013.</v>
      </c>
      <c r="E1144" s="1" t="s">
        <v>15</v>
      </c>
      <c r="F1144" s="1" t="str">
        <f>"137.900,00"</f>
        <v>137.900,00</v>
      </c>
      <c r="G1144" s="1" t="str">
        <f>CONCATENATE("30.08.2013.",CHAR(10),"istražni rad.geoteh. elaborata i idejni projekt u roku od 40 dana, a glav. projekt u roku od 30 dana")</f>
        <v>30.08.2013.
istražni rad.geoteh. elaborata i idejni projekt u roku od 40 dana, a glav. projekt u roku od 30 dana</v>
      </c>
      <c r="H1144" s="1" t="str">
        <f>CONCATENATE("GEOTEHNIČKI STUDIO D.O.O., ZAGREB-SUSEDGRAD",CHAR(10),"ŽELJEZNIČKO PROJEKTNO DRUŠTVO, ZAGREB")</f>
        <v>GEOTEHNIČKI STUDIO D.O.O., ZAGREB-SUSEDGRAD
ŽELJEZNIČKO PROJEKTNO DRUŠTVO, ZAGREB</v>
      </c>
      <c r="I1144" s="2"/>
      <c r="J1144" s="1"/>
      <c r="K1144" s="2"/>
    </row>
    <row r="1145" spans="1:11" ht="47.25" x14ac:dyDescent="0.25">
      <c r="A1145" s="1" t="str">
        <f>"399/2013"</f>
        <v>399/2013</v>
      </c>
      <c r="B1145" s="1" t="s">
        <v>14</v>
      </c>
      <c r="C1145" s="1" t="s">
        <v>2403</v>
      </c>
      <c r="D1145" s="1" t="str">
        <f>CONCATENATE("1998-2013-EMV",CHAR(10),"2013/s 002-0055397 od 19.06.2013.")</f>
        <v>1998-2013-EMV
2013/s 002-0055397 od 19.06.2013.</v>
      </c>
      <c r="E1145" s="1" t="s">
        <v>15</v>
      </c>
      <c r="F1145" s="1" t="str">
        <f>"67.436,70"</f>
        <v>67.436,70</v>
      </c>
      <c r="G1145" s="1" t="str">
        <f>CONCATENATE("30.08.2013.",CHAR(10),"3 mjeseca")</f>
        <v>30.08.2013.
3 mjeseca</v>
      </c>
      <c r="H1145" s="1" t="str">
        <f>CONCATENATE("SPEKTAR GRADNJA D.O.O., ZAGREB")</f>
        <v>SPEKTAR GRADNJA D.O.O., ZAGREB</v>
      </c>
      <c r="I1145" s="1" t="s">
        <v>208</v>
      </c>
      <c r="J1145" s="1" t="str">
        <f>SUBSTITUTE(SUBSTITUTE(SUBSTITUTE("84,285.00",".","-"),",","."),"-",",")</f>
        <v>84.285,00</v>
      </c>
      <c r="K1145" s="2"/>
    </row>
    <row r="1146" spans="1:11" ht="47.25" x14ac:dyDescent="0.25">
      <c r="A1146" s="1" t="str">
        <f>"400/2013"</f>
        <v>400/2013</v>
      </c>
      <c r="B1146" s="1" t="s">
        <v>14</v>
      </c>
      <c r="C1146" s="1" t="s">
        <v>2404</v>
      </c>
      <c r="D1146" s="1" t="str">
        <f>CONCATENATE("1265-2013-EMV",CHAR(10),"2013/S 002-0052853 od 12.06.2013.")</f>
        <v>1265-2013-EMV
2013/S 002-0052853 od 12.06.2013.</v>
      </c>
      <c r="E1146" s="1" t="s">
        <v>15</v>
      </c>
      <c r="F1146" s="1" t="str">
        <f>"604.952,00"</f>
        <v>604.952,00</v>
      </c>
      <c r="G1146" s="1" t="str">
        <f>CONCATENATE("02.09.2013.",CHAR(10),"3 mjeseca")</f>
        <v>02.09.2013.
3 mjeseca</v>
      </c>
      <c r="H1146" s="1" t="str">
        <f>CONCATENATE("P.G.P. D.O.O., ZAGREB",CHAR(10),"GEO MEDIA D.O.O., ZAGREB-DUBRAVA")</f>
        <v>P.G.P. D.O.O., ZAGREB
GEO MEDIA D.O.O., ZAGREB-DUBRAVA</v>
      </c>
      <c r="I1146" s="1" t="s">
        <v>110</v>
      </c>
      <c r="J1146" s="1" t="str">
        <f>SUBSTITUTE(SUBSTITUTE(SUBSTITUTE("754,664.55",".","-"),",","."),"-",",")</f>
        <v>754.664,55</v>
      </c>
      <c r="K1146" s="2"/>
    </row>
    <row r="1147" spans="1:11" ht="63" x14ac:dyDescent="0.25">
      <c r="A1147" s="1" t="str">
        <f>"401/2013"</f>
        <v>401/2013</v>
      </c>
      <c r="B1147" s="1" t="s">
        <v>14</v>
      </c>
      <c r="C1147" s="1" t="s">
        <v>2405</v>
      </c>
      <c r="D1147" s="1" t="str">
        <f>CONCATENATE("1978-2013-EMV",CHAR(10),"2013/S 002-0049947 od 03.06.2013.")</f>
        <v>1978-2013-EMV
2013/S 002-0049947 od 03.06.2013.</v>
      </c>
      <c r="E1147" s="1" t="s">
        <v>15</v>
      </c>
      <c r="F1147" s="1" t="str">
        <f>"49.000,00"</f>
        <v>49.000,00</v>
      </c>
      <c r="G1147" s="1" t="str">
        <f>CONCATENATE("02.09.2013.",CHAR(10),"12 mjeseci")</f>
        <v>02.09.2013.
12 mjeseci</v>
      </c>
      <c r="H1147" s="1" t="str">
        <f>CONCATENATE("ARHINGTRADE D.O.O., ZAGREB",CHAR(10),"HVAT D.O.O., SAMOBOR")</f>
        <v>ARHINGTRADE D.O.O., ZAGREB
HVAT D.O.O., SAMOBOR</v>
      </c>
      <c r="I1147" s="2"/>
      <c r="J1147" s="1"/>
      <c r="K1147" s="2"/>
    </row>
    <row r="1148" spans="1:11" ht="47.25" x14ac:dyDescent="0.25">
      <c r="A1148" s="1" t="str">
        <f>"402/2013"</f>
        <v>402/2013</v>
      </c>
      <c r="B1148" s="1" t="s">
        <v>14</v>
      </c>
      <c r="C1148" s="1" t="s">
        <v>2406</v>
      </c>
      <c r="D1148" s="1" t="str">
        <f>CONCATENATE("1649-2013-EMV",CHAR(10),"2013/S 002-0057203 od 27.06.2013.")</f>
        <v>1649-2013-EMV
2013/S 002-0057203 od 27.06.2013.</v>
      </c>
      <c r="E1148" s="1" t="s">
        <v>15</v>
      </c>
      <c r="F1148" s="1" t="str">
        <f>"960.000,00"</f>
        <v>960.000,00</v>
      </c>
      <c r="G1148" s="1" t="str">
        <f>CONCATENATE("02.09.2013.",CHAR(10),"12 mjeseci")</f>
        <v>02.09.2013.
12 mjeseci</v>
      </c>
      <c r="H1148" s="1" t="str">
        <f>CONCATENATE("INSTITUT ZA MEDICINSKA ISTRAŽIVANJA I MEDICINU RADA, ZAGREB")</f>
        <v>INSTITUT ZA MEDICINSKA ISTRAŽIVANJA I MEDICINU RADA, ZAGREB</v>
      </c>
      <c r="I1148" s="1" t="s">
        <v>401</v>
      </c>
      <c r="J1148" s="1" t="str">
        <f>SUBSTITUTE(SUBSTITUTE(SUBSTITUTE("1,200,000.00",".","-"),",","."),"-",",")</f>
        <v>1.200.000,00</v>
      </c>
      <c r="K1148" s="2"/>
    </row>
    <row r="1149" spans="1:11" ht="63" x14ac:dyDescent="0.25">
      <c r="A1149" s="1" t="str">
        <f>"403/2013"</f>
        <v>403/2013</v>
      </c>
      <c r="B1149" s="1" t="s">
        <v>14</v>
      </c>
      <c r="C1149" s="1" t="s">
        <v>2407</v>
      </c>
      <c r="D1149" s="1" t="str">
        <f>"1692-2013-EMV"</f>
        <v>1692-2013-EMV</v>
      </c>
      <c r="E1149" s="1" t="s">
        <v>12</v>
      </c>
      <c r="F1149" s="1" t="str">
        <f>"7.894.939,54"</f>
        <v>7.894.939,54</v>
      </c>
      <c r="G1149" s="1" t="str">
        <f>CONCATENATE("02.09.2013.",CHAR(10),"90 dana")</f>
        <v>02.09.2013.
90 dana</v>
      </c>
      <c r="H1149" s="1" t="str">
        <f>CONCATENATE("HEP-OPERATOR DISTRIBUCIJSKOG SUSTAVA D.O.O., ZAGREB")</f>
        <v>HEP-OPERATOR DISTRIBUCIJSKOG SUSTAVA D.O.O., ZAGREB</v>
      </c>
      <c r="I1149" s="2"/>
      <c r="J1149" s="1"/>
      <c r="K1149" s="2"/>
    </row>
    <row r="1150" spans="1:11" ht="141.75" x14ac:dyDescent="0.25">
      <c r="A1150" s="1" t="str">
        <f>"404/2013"</f>
        <v>404/2013</v>
      </c>
      <c r="B1150" s="1" t="s">
        <v>14</v>
      </c>
      <c r="C1150" s="1" t="s">
        <v>2408</v>
      </c>
      <c r="D1150" s="1" t="str">
        <f>CONCATENATE("1252-2013-EMV",CHAR(10),"2013/S 002-0034195 od 12.04.2013.")</f>
        <v>1252-2013-EMV
2013/S 002-0034195 od 12.04.2013.</v>
      </c>
      <c r="E1150" s="1" t="s">
        <v>15</v>
      </c>
      <c r="F1150" s="1" t="str">
        <f>"1.944.776,00"</f>
        <v>1.944.776,00</v>
      </c>
      <c r="G1150" s="1" t="str">
        <f>CONCATENATE("02.09.2013.",CHAR(10),"12 mjeseci")</f>
        <v>02.09.2013.
12 mjeseci</v>
      </c>
      <c r="H1150" s="1" t="str">
        <f>CONCATENATE("MONTEL D.O.O., ZAGREB",CHAR(10),"MGV D.O.O., ZAGREB")</f>
        <v>MONTEL D.O.O., ZAGREB
MGV D.O.O., ZAGREB</v>
      </c>
      <c r="I1150" s="2"/>
      <c r="J1150" s="1"/>
      <c r="K1150" s="2"/>
    </row>
    <row r="1151" spans="1:11" ht="47.25" x14ac:dyDescent="0.25">
      <c r="A1151" s="1" t="str">
        <f>"405/2013"</f>
        <v>405/2013</v>
      </c>
      <c r="B1151" s="1" t="s">
        <v>14</v>
      </c>
      <c r="C1151" s="1" t="s">
        <v>2409</v>
      </c>
      <c r="D1151" s="1" t="str">
        <f>CONCATENATE("406-2013-EMV",CHAR(10),"2013/S 002-00053920 od 14.06.2013.")</f>
        <v>406-2013-EMV
2013/S 002-00053920 od 14.06.2013.</v>
      </c>
      <c r="E1151" s="1" t="s">
        <v>15</v>
      </c>
      <c r="F1151" s="1" t="str">
        <f>"110.000,00"</f>
        <v>110.000,00</v>
      </c>
      <c r="G1151" s="1" t="str">
        <f>CONCATENATE("04.09.2013.",CHAR(10),"12 mjeseci")</f>
        <v>04.09.2013.
12 mjeseci</v>
      </c>
      <c r="H1151" s="1" t="str">
        <f>CONCATENATE("NOVI URED D.O.O., LUČKO",CHAR(10),"STUBLIĆ IMPEX D.O.O., SESVETE")</f>
        <v>NOVI URED D.O.O., LUČKO
STUBLIĆ IMPEX D.O.O., SESVETE</v>
      </c>
      <c r="I1151" s="1" t="s">
        <v>438</v>
      </c>
      <c r="J1151" s="1" t="str">
        <f>SUBSTITUTE(SUBSTITUTE(SUBSTITUTE("118,541.25",".","-"),",","."),"-",",")</f>
        <v>118.541,25</v>
      </c>
      <c r="K1151" s="2"/>
    </row>
    <row r="1152" spans="1:11" ht="47.25" x14ac:dyDescent="0.25">
      <c r="A1152" s="1" t="str">
        <f>"406/2013"</f>
        <v>406/2013</v>
      </c>
      <c r="B1152" s="1" t="s">
        <v>14</v>
      </c>
      <c r="C1152" s="1" t="s">
        <v>2410</v>
      </c>
      <c r="D1152" s="1" t="str">
        <f>CONCATENATE("2261-2013-EMV",CHAR(10),"2013/S 002-00054712 od 18.06.2013.")</f>
        <v>2261-2013-EMV
2013/S 002-00054712 od 18.06.2013.</v>
      </c>
      <c r="E1152" s="1" t="s">
        <v>15</v>
      </c>
      <c r="F1152" s="1" t="str">
        <f>"672.336,40"</f>
        <v>672.336,40</v>
      </c>
      <c r="G1152" s="1" t="str">
        <f>CONCATENATE("04.09.2013.",CHAR(10),"3 mjeseca")</f>
        <v>04.09.2013.
3 mjeseca</v>
      </c>
      <c r="H1152" s="1" t="str">
        <f>CONCATENATE("SLIV OPREMA D.O.O., ZAGREB")</f>
        <v>SLIV OPREMA D.O.O., ZAGREB</v>
      </c>
      <c r="I1152" s="1" t="s">
        <v>127</v>
      </c>
      <c r="J1152" s="1" t="str">
        <f>SUBSTITUTE(SUBSTITUTE(SUBSTITUTE("840,413.21",".","-"),",","."),"-",",")</f>
        <v>840.413,21</v>
      </c>
      <c r="K1152" s="2"/>
    </row>
    <row r="1153" spans="1:11" ht="47.25" x14ac:dyDescent="0.25">
      <c r="A1153" s="1" t="str">
        <f>"407/2013"</f>
        <v>407/2013</v>
      </c>
      <c r="B1153" s="1" t="s">
        <v>14</v>
      </c>
      <c r="C1153" s="1" t="s">
        <v>2411</v>
      </c>
      <c r="D1153" s="1" t="str">
        <f>CONCATENATE("2271-2013-EMV",CHAR(10),"2013/S 002-0062581 od 12.07.2013.")</f>
        <v>2271-2013-EMV
2013/S 002-0062581 od 12.07.2013.</v>
      </c>
      <c r="E1153" s="1" t="s">
        <v>15</v>
      </c>
      <c r="F1153" s="1" t="str">
        <f>"1.930.289,20"</f>
        <v>1.930.289,20</v>
      </c>
      <c r="G1153" s="1" t="str">
        <f>CONCATENATE("04.09.2013.",CHAR(10),"45 dana")</f>
        <v>04.09.2013.
45 dana</v>
      </c>
      <c r="H1153" s="1" t="str">
        <f>CONCATENATE("GIP PIONIR D.O.O., ZAGREB",CHAR(10),"CSS D.O.O., ZAGREB")</f>
        <v>GIP PIONIR D.O.O., ZAGREB
CSS D.O.O., ZAGREB</v>
      </c>
      <c r="I1153" s="1" t="s">
        <v>352</v>
      </c>
      <c r="J1153" s="1" t="str">
        <f>SUBSTITUTE(SUBSTITUTE(SUBSTITUTE("2,398,411.78",".","-"),",","."),"-",",")</f>
        <v>2.398.411,78</v>
      </c>
      <c r="K1153" s="2"/>
    </row>
    <row r="1154" spans="1:11" ht="47.25" x14ac:dyDescent="0.25">
      <c r="A1154" s="1" t="str">
        <f>"408/2013"</f>
        <v>408/2013</v>
      </c>
      <c r="B1154" s="1" t="s">
        <v>14</v>
      </c>
      <c r="C1154" s="1" t="s">
        <v>2412</v>
      </c>
      <c r="D1154" s="1" t="str">
        <f>CONCATENATE("1925-2013-EMV",CHAR(10),"2013/S 002-0058017 od 25.06.2013.")</f>
        <v>1925-2013-EMV
2013/S 002-0058017 od 25.06.2013.</v>
      </c>
      <c r="E1154" s="1" t="s">
        <v>15</v>
      </c>
      <c r="F1154" s="1" t="str">
        <f>"74.125,50"</f>
        <v>74.125,50</v>
      </c>
      <c r="G1154" s="1" t="str">
        <f>CONCATENATE("05.09.2013.",CHAR(10),"3 mjeseca")</f>
        <v>05.09.2013.
3 mjeseca</v>
      </c>
      <c r="H1154" s="1" t="str">
        <f>CONCATENATE("VODOGRAD-I.G. D.O.O., ZAGREB")</f>
        <v>VODOGRAD-I.G. D.O.O., ZAGREB</v>
      </c>
      <c r="I1154" s="1" t="s">
        <v>431</v>
      </c>
      <c r="J1154" s="1" t="str">
        <f>SUBSTITUTE(SUBSTITUTE(SUBSTITUTE("92,656.88",".","-"),",","."),"-",",")</f>
        <v>92.656,88</v>
      </c>
      <c r="K1154" s="2"/>
    </row>
    <row r="1155" spans="1:11" ht="47.25" x14ac:dyDescent="0.25">
      <c r="A1155" s="1" t="str">
        <f>"409/2013"</f>
        <v>409/2013</v>
      </c>
      <c r="B1155" s="1" t="s">
        <v>14</v>
      </c>
      <c r="C1155" s="1" t="s">
        <v>2413</v>
      </c>
      <c r="D1155" s="1" t="str">
        <f>CONCATENATE("182-2013-EMV",CHAR(10),"2013/S-002-0052932 od 12.06.2013.")</f>
        <v>182-2013-EMV
2013/S-002-0052932 od 12.06.2013.</v>
      </c>
      <c r="E1155" s="1" t="s">
        <v>15</v>
      </c>
      <c r="F1155" s="1" t="str">
        <f>"99.178,48"</f>
        <v>99.178,48</v>
      </c>
      <c r="G1155" s="1" t="str">
        <f>CONCATENATE("05.09.2013.",CHAR(10),"12 mjeseci sukcesivno prema pisanim nalozima")</f>
        <v>05.09.2013.
12 mjeseci sukcesivno prema pisanim nalozima</v>
      </c>
      <c r="H1155" s="1" t="str">
        <f>CONCATENATE("MARINO-LUČKO D.O.O., LUČKO")</f>
        <v>MARINO-LUČKO D.O.O., LUČKO</v>
      </c>
      <c r="I1155" s="1" t="s">
        <v>388</v>
      </c>
      <c r="J1155" s="1" t="str">
        <f>SUBSTITUTE(SUBSTITUTE(SUBSTITUTE("124,710.00",".","-"),",","."),"-",",")</f>
        <v>124.710,00</v>
      </c>
      <c r="K1155" s="2"/>
    </row>
    <row r="1156" spans="1:11" ht="63" x14ac:dyDescent="0.25">
      <c r="A1156" s="1" t="str">
        <f>"A-80/2013"</f>
        <v>A-80/2013</v>
      </c>
      <c r="B1156" s="1" t="s">
        <v>11</v>
      </c>
      <c r="C1156" s="1" t="s">
        <v>439</v>
      </c>
      <c r="D1156" s="1" t="str">
        <f>"920-2012-EMV"</f>
        <v>920-2012-EMV</v>
      </c>
      <c r="E1156" s="2"/>
      <c r="F1156" s="1" t="str">
        <f>"0,00"</f>
        <v>0,00</v>
      </c>
      <c r="G1156" s="1" t="str">
        <f>CONCATENATE("05.09.2013.",CHAR(10),"do 15.10.2013.")</f>
        <v>05.09.2013.
do 15.10.2013.</v>
      </c>
      <c r="H1156" s="1" t="str">
        <f>CONCATENATE("ADRIA GRUPA D.O.O., ZAGREB")</f>
        <v>ADRIA GRUPA D.O.O., ZAGREB</v>
      </c>
      <c r="I1156" s="2"/>
      <c r="J1156" s="1"/>
      <c r="K1156" s="2"/>
    </row>
    <row r="1157" spans="1:11" ht="47.25" x14ac:dyDescent="0.25">
      <c r="A1157" s="1" t="str">
        <f>"410/2013"</f>
        <v>410/2013</v>
      </c>
      <c r="B1157" s="1" t="s">
        <v>14</v>
      </c>
      <c r="C1157" s="1" t="s">
        <v>2414</v>
      </c>
      <c r="D1157" s="1" t="str">
        <f>CONCATENATE("352-2013-EMV",CHAR(10),"2013/S 002-0053718 od 14.06.2013.")</f>
        <v>352-2013-EMV
2013/S 002-0053718 od 14.06.2013.</v>
      </c>
      <c r="E1157" s="1" t="s">
        <v>15</v>
      </c>
      <c r="F1157" s="1" t="str">
        <f>"290.557,00"</f>
        <v>290.557,00</v>
      </c>
      <c r="G1157" s="1" t="str">
        <f>CONCATENATE("05.09.2013.",CHAR(10),"12 mjeseci")</f>
        <v>05.09.2013.
12 mjeseci</v>
      </c>
      <c r="H1157" s="1" t="str">
        <f>CONCATENATE("GRADITELJ SVRATIŠTA D.O.O., ZAGREB")</f>
        <v>GRADITELJ SVRATIŠTA D.O.O., ZAGREB</v>
      </c>
      <c r="I1157" s="1" t="s">
        <v>440</v>
      </c>
      <c r="J1157" s="1" t="str">
        <f>SUBSTITUTE(SUBSTITUTE(SUBSTITUTE("362,933.45",".","-"),",","."),"-",",")</f>
        <v>362.933,45</v>
      </c>
      <c r="K1157" s="2"/>
    </row>
    <row r="1158" spans="1:11" ht="47.25" x14ac:dyDescent="0.25">
      <c r="A1158" s="1" t="str">
        <f>"411/2013"</f>
        <v>411/2013</v>
      </c>
      <c r="B1158" s="1" t="s">
        <v>14</v>
      </c>
      <c r="C1158" s="1" t="s">
        <v>2415</v>
      </c>
      <c r="D1158" s="1" t="str">
        <f>CONCATENATE("347-2013-EMV",CHAR(10),"2013/S 002-0059330 od 03.07.2013.")</f>
        <v>347-2013-EMV
2013/S 002-0059330 od 03.07.2013.</v>
      </c>
      <c r="E1158" s="1" t="s">
        <v>15</v>
      </c>
      <c r="F1158" s="1" t="str">
        <f>"2.764.688,80"</f>
        <v>2.764.688,80</v>
      </c>
      <c r="G1158" s="1" t="str">
        <f>CONCATENATE("05.09.2013.",CHAR(10),"12 mjeseci")</f>
        <v>05.09.2013.
12 mjeseci</v>
      </c>
      <c r="H1158" s="1" t="str">
        <f>CONCATENATE("HM-PATRIA D.O.O., ZAGREB")</f>
        <v>HM-PATRIA D.O.O., ZAGREB</v>
      </c>
      <c r="I1158" s="1" t="s">
        <v>441</v>
      </c>
      <c r="J1158" s="1" t="str">
        <f>SUBSTITUTE(SUBSTITUTE(SUBSTITUTE("3,454,698.00",".","-"),",","."),"-",",")</f>
        <v>3.454.698,00</v>
      </c>
      <c r="K1158" s="2"/>
    </row>
    <row r="1159" spans="1:11" ht="47.25" x14ac:dyDescent="0.25">
      <c r="A1159" s="1" t="str">
        <f>"412/2013"</f>
        <v>412/2013</v>
      </c>
      <c r="B1159" s="1" t="s">
        <v>26</v>
      </c>
      <c r="C1159" s="1" t="s">
        <v>2416</v>
      </c>
      <c r="D1159" s="1" t="str">
        <f>"111-2012-EMV"</f>
        <v>111-2012-EMV</v>
      </c>
      <c r="E1159" s="2"/>
      <c r="F1159" s="1" t="str">
        <f>"48.825,00"</f>
        <v>48.825,00</v>
      </c>
      <c r="G1159" s="1" t="str">
        <f>CONCATENATE("09.09.2013.",CHAR(10),"12 mjeseci")</f>
        <v>09.09.2013.
12 mjeseci</v>
      </c>
      <c r="H1159" s="1" t="str">
        <f>CONCATENATE("HRT-ŠARIĆ D.O.O., DUGO SELO")</f>
        <v>HRT-ŠARIĆ D.O.O., DUGO SELO</v>
      </c>
      <c r="I1159" s="1" t="s">
        <v>199</v>
      </c>
      <c r="J1159" s="1" t="str">
        <f>SUBSTITUTE(SUBSTITUTE(SUBSTITUTE("60,966.75",".","-"),",","."),"-",",")</f>
        <v>60.966,75</v>
      </c>
      <c r="K1159" s="2"/>
    </row>
    <row r="1160" spans="1:11" ht="47.25" x14ac:dyDescent="0.25">
      <c r="A1160" s="1" t="str">
        <f>"413/2013"</f>
        <v>413/2013</v>
      </c>
      <c r="B1160" s="1" t="s">
        <v>14</v>
      </c>
      <c r="C1160" s="1" t="s">
        <v>818</v>
      </c>
      <c r="D1160" s="1" t="str">
        <f>CONCATENATE("1466-2013-EMV",CHAR(10),"2013/S 002-0060027 od 05.07.2013.")</f>
        <v>1466-2013-EMV
2013/S 002-0060027 od 05.07.2013.</v>
      </c>
      <c r="E1160" s="1" t="s">
        <v>15</v>
      </c>
      <c r="F1160" s="1" t="str">
        <f>"1.958.002,75"</f>
        <v>1.958.002,75</v>
      </c>
      <c r="G1160" s="1" t="str">
        <f>CONCATENATE("09.09.2013.",CHAR(10),"1 godina")</f>
        <v>09.09.2013.
1 godina</v>
      </c>
      <c r="H1160" s="1" t="str">
        <f>CONCATENATE("GRADITELJ SVRATIŠTA D.O.O., ZAGREB")</f>
        <v>GRADITELJ SVRATIŠTA D.O.O., ZAGREB</v>
      </c>
      <c r="I1160" s="1" t="s">
        <v>147</v>
      </c>
      <c r="J1160" s="1" t="str">
        <f>SUBSTITUTE(SUBSTITUTE(SUBSTITUTE("2,447,425.29",".","-"),",","."),"-",",")</f>
        <v>2.447.425,29</v>
      </c>
      <c r="K1160" s="2"/>
    </row>
    <row r="1161" spans="1:11" ht="47.25" x14ac:dyDescent="0.25">
      <c r="A1161" s="1" t="str">
        <f>"414/2013"</f>
        <v>414/2013</v>
      </c>
      <c r="B1161" s="1" t="s">
        <v>14</v>
      </c>
      <c r="C1161" s="1" t="s">
        <v>2417</v>
      </c>
      <c r="D1161" s="1" t="str">
        <f>CONCATENATE("580-2013-EVV",CHAR(10),"2013/S 015-0070431 od 12.08.2013.")</f>
        <v>580-2013-EVV
2013/S 015-0070431 od 12.08.2013.</v>
      </c>
      <c r="E1161" s="1" t="s">
        <v>40</v>
      </c>
      <c r="F1161" s="1" t="str">
        <f>"1.600.000,00"</f>
        <v>1.600.000,00</v>
      </c>
      <c r="G1161" s="1" t="str">
        <f>CONCATENATE("09.09.2013.",CHAR(10),"12 mjeseci")</f>
        <v>09.09.2013.
12 mjeseci</v>
      </c>
      <c r="H1161" s="1" t="str">
        <f>CONCATENATE("HRVATSKE ŠUME D.O.O., ZAGREB")</f>
        <v>HRVATSKE ŠUME D.O.O., ZAGREB</v>
      </c>
      <c r="I1161" s="1" t="s">
        <v>38</v>
      </c>
      <c r="J1161" s="1" t="str">
        <f>SUBSTITUTE(SUBSTITUTE(SUBSTITUTE("1,667,569.18",".","-"),",","."),"-",",")</f>
        <v>1.667.569,18</v>
      </c>
      <c r="K1161" s="2"/>
    </row>
    <row r="1162" spans="1:11" ht="47.25" x14ac:dyDescent="0.25">
      <c r="A1162" s="1" t="str">
        <f>"A-81/2013"</f>
        <v>A-81/2013</v>
      </c>
      <c r="B1162" s="1" t="s">
        <v>11</v>
      </c>
      <c r="C1162" s="1" t="s">
        <v>2418</v>
      </c>
      <c r="D1162" s="1" t="str">
        <f>"2971-2012-EMV"</f>
        <v>2971-2012-EMV</v>
      </c>
      <c r="E1162" s="2"/>
      <c r="F1162" s="1" t="str">
        <f>"0,00"</f>
        <v>0,00</v>
      </c>
      <c r="G1162" s="1" t="str">
        <f>CONCATENATE("09.09.2013.",CHAR(10),"do 30.10.2013.")</f>
        <v>09.09.2013.
do 30.10.2013.</v>
      </c>
      <c r="H1162" s="1" t="str">
        <f>CONCATENATE("MEŠIĆ COM D.O.O., ZAGREB")</f>
        <v>MEŠIĆ COM D.O.O., ZAGREB</v>
      </c>
      <c r="I1162" s="2"/>
      <c r="J1162" s="1"/>
      <c r="K1162" s="2"/>
    </row>
    <row r="1163" spans="1:11" ht="94.5" x14ac:dyDescent="0.25">
      <c r="A1163" s="1" t="str">
        <f>"A-82/2013"</f>
        <v>A-82/2013</v>
      </c>
      <c r="B1163" s="1" t="s">
        <v>11</v>
      </c>
      <c r="C1163" s="1" t="s">
        <v>2419</v>
      </c>
      <c r="D1163" s="1" t="str">
        <f>"1956-2012-EMV"</f>
        <v>1956-2012-EMV</v>
      </c>
      <c r="E1163" s="2"/>
      <c r="F1163" s="1" t="str">
        <f>"0,00"</f>
        <v>0,00</v>
      </c>
      <c r="G1163" s="1" t="str">
        <f>CONCATENATE("09.09.2013.",CHAR(10),"do 30.10.2013.")</f>
        <v>09.09.2013.
do 30.10.2013.</v>
      </c>
      <c r="H1163" s="1" t="str">
        <f>CONCATENATE("MEŠIĆ COM D.O.O., ZAGREB",CHAR(10),"VODOVOD-OSIJEK D.O.O., OSIJEK",CHAR(10),"MJERNIK LIMA D.O.O., ZAGREB",CHAR(10),"ALING D.O.O., ZAGREB",CHAR(10),"VELTEH D.O.O., ZAGREB",CHAR(10),"IS-GRIJANJE D.O.O., ZAGREB")</f>
        <v>MEŠIĆ COM D.O.O., ZAGREB
VODOVOD-OSIJEK D.O.O., OSIJEK
MJERNIK LIMA D.O.O., ZAGREB
ALING D.O.O., ZAGREB
VELTEH D.O.O., ZAGREB
IS-GRIJANJE D.O.O., ZAGREB</v>
      </c>
      <c r="I1163" s="2"/>
      <c r="J1163" s="1"/>
      <c r="K1163" s="2"/>
    </row>
    <row r="1164" spans="1:11" ht="47.25" x14ac:dyDescent="0.25">
      <c r="A1164" s="1" t="str">
        <f>"415/2013"</f>
        <v>415/2013</v>
      </c>
      <c r="B1164" s="1" t="s">
        <v>14</v>
      </c>
      <c r="C1164" s="1" t="s">
        <v>2420</v>
      </c>
      <c r="D1164" s="1" t="str">
        <f>CONCATENATE("201-2013-EMV",CHAR(10),"2013/S-002-00053773 od 14.06.2013.")</f>
        <v>201-2013-EMV
2013/S-002-00053773 od 14.06.2013.</v>
      </c>
      <c r="E1164" s="1" t="s">
        <v>15</v>
      </c>
      <c r="F1164" s="1" t="str">
        <f>"193.000,00"</f>
        <v>193.000,00</v>
      </c>
      <c r="G1164" s="1" t="str">
        <f>CONCATENATE("09.09.2013.",CHAR(10),"30 dana")</f>
        <v>09.09.2013.
30 dana</v>
      </c>
      <c r="H1164" s="1" t="str">
        <f>CONCATENATE("O.K.I. MONT D.O.O., ZAGREB")</f>
        <v>O.K.I. MONT D.O.O., ZAGREB</v>
      </c>
      <c r="I1164" s="1" t="s">
        <v>442</v>
      </c>
      <c r="J1164" s="1" t="str">
        <f>SUBSTITUTE(SUBSTITUTE(SUBSTITUTE("217,145.86",".","-"),",","."),"-",",")</f>
        <v>217.145,86</v>
      </c>
      <c r="K1164" s="2"/>
    </row>
    <row r="1165" spans="1:11" ht="47.25" x14ac:dyDescent="0.25">
      <c r="A1165" s="1" t="str">
        <f>"416/2013"</f>
        <v>416/2013</v>
      </c>
      <c r="B1165" s="1" t="s">
        <v>14</v>
      </c>
      <c r="C1165" s="1" t="s">
        <v>2421</v>
      </c>
      <c r="D1165" s="1" t="str">
        <f>CONCATENATE("234-2013-EMV",CHAR(10),"2013/S 002-0057890 od 28.06.2013.")</f>
        <v>234-2013-EMV
2013/S 002-0057890 od 28.06.2013.</v>
      </c>
      <c r="E1165" s="1" t="s">
        <v>15</v>
      </c>
      <c r="F1165" s="1" t="str">
        <f>"149.400,00"</f>
        <v>149.400,00</v>
      </c>
      <c r="G1165" s="1" t="str">
        <f>CONCATENATE("10.09.2013.",CHAR(10),"12 mjeseci")</f>
        <v>10.09.2013.
12 mjeseci</v>
      </c>
      <c r="H1165" s="1" t="str">
        <f>CONCATENATE("BCC SERVICES D.O.O., ZAGREB")</f>
        <v>BCC SERVICES D.O.O., ZAGREB</v>
      </c>
      <c r="I1165" s="1" t="s">
        <v>443</v>
      </c>
      <c r="J1165" s="1" t="str">
        <f>SUBSTITUTE(SUBSTITUTE(SUBSTITUTE("186,750.00",".","-"),",","."),"-",",")</f>
        <v>186.750,00</v>
      </c>
      <c r="K1165" s="2"/>
    </row>
    <row r="1166" spans="1:11" ht="47.25" x14ac:dyDescent="0.25">
      <c r="A1166" s="1" t="str">
        <f>"417/2013"</f>
        <v>417/2013</v>
      </c>
      <c r="B1166" s="1" t="s">
        <v>14</v>
      </c>
      <c r="C1166" s="1" t="s">
        <v>2422</v>
      </c>
      <c r="D1166" s="1" t="str">
        <f>CONCATENATE("488-2013-EMV",CHAR(10),"2013/S 002-0052179 od 10.06.2013.")</f>
        <v>488-2013-EMV
2013/S 002-0052179 od 10.06.2013.</v>
      </c>
      <c r="E1166" s="1" t="s">
        <v>15</v>
      </c>
      <c r="F1166" s="1" t="str">
        <f>"120.303,50"</f>
        <v>120.303,50</v>
      </c>
      <c r="G1166" s="1" t="str">
        <f>CONCATENATE("10.09.2013.",CHAR(10),"45 dana")</f>
        <v>10.09.2013.
45 dana</v>
      </c>
      <c r="H1166" s="1" t="str">
        <f>CONCATENATE("IS-GRIJANJE D.O.O., ZAGREB")</f>
        <v>IS-GRIJANJE D.O.O., ZAGREB</v>
      </c>
      <c r="I1166" s="1" t="s">
        <v>431</v>
      </c>
      <c r="J1166" s="1" t="str">
        <f>SUBSTITUTE(SUBSTITUTE(SUBSTITUTE("150,213.13",".","-"),",","."),"-",",")</f>
        <v>150.213,13</v>
      </c>
      <c r="K1166" s="2"/>
    </row>
    <row r="1167" spans="1:11" ht="31.5" x14ac:dyDescent="0.25">
      <c r="A1167" s="1" t="str">
        <f>"418/2013"</f>
        <v>418/2013</v>
      </c>
      <c r="B1167" s="1" t="s">
        <v>26</v>
      </c>
      <c r="C1167" s="1" t="s">
        <v>444</v>
      </c>
      <c r="D1167" s="1" t="str">
        <f>"409-2013-EVV"</f>
        <v>409-2013-EVV</v>
      </c>
      <c r="E1167" s="2"/>
      <c r="F1167" s="1" t="str">
        <f>"4.453.528,70"</f>
        <v>4.453.528,70</v>
      </c>
      <c r="G1167" s="1" t="str">
        <f>CONCATENATE("10.09.2013.",CHAR(10),"tijekom 12 mjeseci")</f>
        <v>10.09.2013.
tijekom 12 mjeseci</v>
      </c>
      <c r="H1167" s="1" t="str">
        <f>CONCATENATE("GRADSKA PLINARA ZAGREB-OPSKRBA D.O.O., ZAGREB")</f>
        <v>GRADSKA PLINARA ZAGREB-OPSKRBA D.O.O., ZAGREB</v>
      </c>
      <c r="I1167" s="2"/>
      <c r="J1167" s="1"/>
      <c r="K1167" s="2"/>
    </row>
    <row r="1168" spans="1:11" ht="63" x14ac:dyDescent="0.25">
      <c r="A1168" s="1" t="str">
        <f>"419/2013"</f>
        <v>419/2013</v>
      </c>
      <c r="B1168" s="1" t="s">
        <v>14</v>
      </c>
      <c r="C1168" s="1" t="s">
        <v>2423</v>
      </c>
      <c r="D1168" s="1" t="str">
        <f>CONCATENATE("1219-2013-EMV",CHAR(10),"2013/S 002-0040963 od 03.05.2013.")</f>
        <v>1219-2013-EMV
2013/S 002-0040963 od 03.05.2013.</v>
      </c>
      <c r="E1168" s="1" t="s">
        <v>15</v>
      </c>
      <c r="F1168" s="1" t="str">
        <f>"144.000,00"</f>
        <v>144.000,00</v>
      </c>
      <c r="G1168" s="1" t="str">
        <f>CONCATENATE("10.09.2013.",CHAR(10),"3 mjeseca")</f>
        <v>10.09.2013.
3 mjeseca</v>
      </c>
      <c r="H1168" s="1" t="str">
        <f>CONCATENATE("CAPITAL ING D.O.O., ZAGREB",CHAR(10),"GEO GRUPA D.O.O., ZAGREB",CHAR(10),"ELARH PROJEKT D.O.O., ZAGREB",CHAR(10),"MHM-PROJEKT D.O.O., ZAGREB")</f>
        <v>CAPITAL ING D.O.O., ZAGREB
GEO GRUPA D.O.O., ZAGREB
ELARH PROJEKT D.O.O., ZAGREB
MHM-PROJEKT D.O.O., ZAGREB</v>
      </c>
      <c r="I1168" s="2"/>
      <c r="J1168" s="1"/>
      <c r="K1168" s="2"/>
    </row>
    <row r="1169" spans="1:11" ht="47.25" x14ac:dyDescent="0.25">
      <c r="A1169" s="1" t="str">
        <f>"420/2013"</f>
        <v>420/2013</v>
      </c>
      <c r="B1169" s="1" t="s">
        <v>14</v>
      </c>
      <c r="C1169" s="1" t="s">
        <v>2424</v>
      </c>
      <c r="D1169" s="1" t="str">
        <f>CONCATENATE("1972-2013-EMV",CHAR(10),"2013/S 002-00055359 od 19.06.2013.")</f>
        <v>1972-2013-EMV
2013/S 002-00055359 od 19.06.2013.</v>
      </c>
      <c r="E1169" s="1" t="s">
        <v>15</v>
      </c>
      <c r="F1169" s="1" t="str">
        <f>"127.805,00"</f>
        <v>127.805,00</v>
      </c>
      <c r="G1169" s="1" t="str">
        <f>CONCATENATE("10.09.2013.",CHAR(10),"30 dana")</f>
        <v>10.09.2013.
30 dana</v>
      </c>
      <c r="H1169" s="1" t="str">
        <f>CONCATENATE("SPEKTAR GRADNJA D.O.O., ZAGREB")</f>
        <v>SPEKTAR GRADNJA D.O.O., ZAGREB</v>
      </c>
      <c r="I1169" s="1" t="s">
        <v>371</v>
      </c>
      <c r="J1169" s="1" t="str">
        <f>SUBSTITUTE(SUBSTITUTE(SUBSTITUTE("80,612.73",".","-"),",","."),"-",",")</f>
        <v>80.612,73</v>
      </c>
      <c r="K1169" s="2"/>
    </row>
    <row r="1170" spans="1:11" ht="63" x14ac:dyDescent="0.25">
      <c r="A1170" s="1" t="str">
        <f>"A-83/2013"</f>
        <v>A-83/2013</v>
      </c>
      <c r="B1170" s="1" t="s">
        <v>11</v>
      </c>
      <c r="C1170" s="1" t="s">
        <v>2425</v>
      </c>
      <c r="D1170" s="1" t="str">
        <f>"EV-146-012/2011"</f>
        <v>EV-146-012/2011</v>
      </c>
      <c r="E1170" s="2"/>
      <c r="F1170" s="1" t="str">
        <f>"0,00"</f>
        <v>0,00</v>
      </c>
      <c r="G1170" s="1" t="str">
        <f>CONCATENATE("10.09.2013.",CHAR(10),"do 31.10.2013.")</f>
        <v>10.09.2013.
do 31.10.2013.</v>
      </c>
      <c r="H1170" s="1" t="str">
        <f>CONCATENATE("GEORAD D.O.O., ZAGREB")</f>
        <v>GEORAD D.O.O., ZAGREB</v>
      </c>
      <c r="I1170" s="2"/>
      <c r="J1170" s="1"/>
      <c r="K1170" s="2"/>
    </row>
    <row r="1171" spans="1:11" ht="47.25" x14ac:dyDescent="0.25">
      <c r="A1171" s="1" t="str">
        <f>"421/2013"</f>
        <v>421/2013</v>
      </c>
      <c r="B1171" s="1" t="s">
        <v>14</v>
      </c>
      <c r="C1171" s="1" t="s">
        <v>2426</v>
      </c>
      <c r="D1171" s="1" t="str">
        <f>CONCATENATE("1943-2013-EMV",CHAR(10),"2013/S 002-0060385 od 05.07.2013.")</f>
        <v>1943-2013-EMV
2013/S 002-0060385 od 05.07.2013.</v>
      </c>
      <c r="E1171" s="1" t="s">
        <v>15</v>
      </c>
      <c r="F1171" s="1" t="str">
        <f>"85.318,00"</f>
        <v>85.318,00</v>
      </c>
      <c r="G1171" s="1" t="str">
        <f>CONCATENATE("10.09.2013.",CHAR(10),"3 mjeseca")</f>
        <v>10.09.2013.
3 mjeseca</v>
      </c>
      <c r="H1171" s="1" t="str">
        <f>CONCATENATE("SPEKTAR GRADNJA D.O.O., ZAGREB")</f>
        <v>SPEKTAR GRADNJA D.O.O., ZAGREB</v>
      </c>
      <c r="I1171" s="1" t="s">
        <v>234</v>
      </c>
      <c r="J1171" s="1" t="str">
        <f>SUBSTITUTE(SUBSTITUTE(SUBSTITUTE("106,647.50",".","-"),",","."),"-",",")</f>
        <v>106.647,50</v>
      </c>
      <c r="K1171" s="2"/>
    </row>
    <row r="1172" spans="1:11" ht="63" x14ac:dyDescent="0.25">
      <c r="A1172" s="1" t="str">
        <f>"A-84/2013"</f>
        <v>A-84/2013</v>
      </c>
      <c r="B1172" s="1" t="s">
        <v>11</v>
      </c>
      <c r="C1172" s="1" t="s">
        <v>2427</v>
      </c>
      <c r="D1172" s="1" t="str">
        <f>"EM-430-012/2011"</f>
        <v>EM-430-012/2011</v>
      </c>
      <c r="E1172" s="2"/>
      <c r="F1172" s="1" t="str">
        <f>"0,00"</f>
        <v>0,00</v>
      </c>
      <c r="G1172" s="1" t="str">
        <f>CONCATENATE("10.09.2013.",CHAR(10),"do 31.10.2013.")</f>
        <v>10.09.2013.
do 31.10.2013.</v>
      </c>
      <c r="H1172" s="1" t="str">
        <f>CONCATENATE("NERING PROJEKT D.O.O., ZAGREB")</f>
        <v>NERING PROJEKT D.O.O., ZAGREB</v>
      </c>
      <c r="I1172" s="2"/>
      <c r="J1172" s="1"/>
      <c r="K1172" s="2"/>
    </row>
    <row r="1173" spans="1:11" ht="47.25" x14ac:dyDescent="0.25">
      <c r="A1173" s="1" t="str">
        <f>"422/2013"</f>
        <v>422/2013</v>
      </c>
      <c r="B1173" s="1" t="s">
        <v>14</v>
      </c>
      <c r="C1173" s="1" t="s">
        <v>2428</v>
      </c>
      <c r="D1173" s="1" t="str">
        <f>CONCATENATE("1114-2013-EMV",CHAR(10),"2013/S 002-0045905 od 20.05.2013.")</f>
        <v>1114-2013-EMV
2013/S 002-0045905 od 20.05.2013.</v>
      </c>
      <c r="E1173" s="1" t="s">
        <v>15</v>
      </c>
      <c r="F1173" s="1" t="str">
        <f>"1.187.346,01"</f>
        <v>1.187.346,01</v>
      </c>
      <c r="G1173" s="1" t="str">
        <f>CONCATENATE("11.09.2013.",CHAR(10),"3 mjeseca")</f>
        <v>11.09.2013.
3 mjeseca</v>
      </c>
      <c r="H1173" s="1" t="str">
        <f>CONCATENATE("TIM GRADNJA D.O.O., ZAGREB",CHAR(10),"AKD-ZAŠTITA D.O.O., ZAGREB")</f>
        <v>TIM GRADNJA D.O.O., ZAGREB
AKD-ZAŠTITA D.O.O., ZAGREB</v>
      </c>
      <c r="I1173" s="2"/>
      <c r="J1173" s="1"/>
      <c r="K1173" s="2"/>
    </row>
    <row r="1174" spans="1:11" ht="47.25" x14ac:dyDescent="0.25">
      <c r="A1174" s="1" t="str">
        <f>"423/2013"</f>
        <v>423/2013</v>
      </c>
      <c r="B1174" s="1" t="s">
        <v>14</v>
      </c>
      <c r="C1174" s="1" t="s">
        <v>2429</v>
      </c>
      <c r="D1174" s="1" t="str">
        <f>CONCATENATE("1987-2013-EMV",CHAR(10),"2013/S 002-0048702 od 28.05.2013.")</f>
        <v>1987-2013-EMV
2013/S 002-0048702 od 28.05.2013.</v>
      </c>
      <c r="E1174" s="1" t="s">
        <v>15</v>
      </c>
      <c r="F1174" s="1" t="str">
        <f>"146.426,00"</f>
        <v>146.426,00</v>
      </c>
      <c r="G1174" s="1" t="str">
        <f>CONCATENATE("11.09.2013.",CHAR(10),"3 mjeseca")</f>
        <v>11.09.2013.
3 mjeseca</v>
      </c>
      <c r="H1174" s="1" t="str">
        <f>CONCATENATE("MANZIN-MONTAŽA D.O.O., ZAGREB")</f>
        <v>MANZIN-MONTAŽA D.O.O., ZAGREB</v>
      </c>
      <c r="I1174" s="1" t="s">
        <v>404</v>
      </c>
      <c r="J1174" s="1" t="str">
        <f>SUBSTITUTE(SUBSTITUTE(SUBSTITUTE("183,025.63",".","-"),",","."),"-",",")</f>
        <v>183.025,63</v>
      </c>
      <c r="K1174" s="2"/>
    </row>
    <row r="1175" spans="1:11" ht="110.25" x14ac:dyDescent="0.25">
      <c r="A1175" s="1" t="str">
        <f>"424/2013"</f>
        <v>424/2013</v>
      </c>
      <c r="B1175" s="1" t="s">
        <v>14</v>
      </c>
      <c r="C1175" s="1" t="s">
        <v>2430</v>
      </c>
      <c r="D1175" s="1" t="str">
        <f>CONCATENATE("1671-2013-EMV",CHAR(10),"2013/S 002-0041431 od 7.05.2013, isp. 2013/S 014-0047977 od 27.05.2013, isp. 2013/S 014-0048835 od 28.05.2013.")</f>
        <v>1671-2013-EMV
2013/S 002-0041431 od 7.05.2013, isp. 2013/S 014-0047977 od 27.05.2013, isp. 2013/S 014-0048835 od 28.05.2013.</v>
      </c>
      <c r="E1175" s="1" t="s">
        <v>15</v>
      </c>
      <c r="F1175" s="1" t="str">
        <f>"3.248.674,64"</f>
        <v>3.248.674,64</v>
      </c>
      <c r="G1175" s="1" t="str">
        <f>CONCATENATE("11.09.2013.",CHAR(10),"3 mjeseca")</f>
        <v>11.09.2013.
3 mjeseca</v>
      </c>
      <c r="H1175" s="1" t="str">
        <f>CONCATENATE("GRADITELJ SVRATIŠTA D.O.O., ZAGREB",CHAR(10),"M-M ELEKTRO D.O.O., LUČKO")</f>
        <v>GRADITELJ SVRATIŠTA D.O.O., ZAGREB
M-M ELEKTRO D.O.O., LUČKO</v>
      </c>
      <c r="I1175" s="2"/>
      <c r="J1175" s="1"/>
      <c r="K1175" s="2"/>
    </row>
    <row r="1176" spans="1:11" ht="63" x14ac:dyDescent="0.25">
      <c r="A1176" s="1" t="str">
        <f>"425/2013"</f>
        <v>425/2013</v>
      </c>
      <c r="B1176" s="1" t="s">
        <v>14</v>
      </c>
      <c r="C1176" s="1" t="s">
        <v>2431</v>
      </c>
      <c r="D1176" s="1" t="str">
        <f>CONCATENATE("1103-2013-EMV",CHAR(10),"2013/S 002-0055471 od 19.06.2013.")</f>
        <v>1103-2013-EMV
2013/S 002-0055471 od 19.06.2013.</v>
      </c>
      <c r="E1176" s="1" t="s">
        <v>15</v>
      </c>
      <c r="F1176" s="1" t="str">
        <f>"150.000,00"</f>
        <v>150.000,00</v>
      </c>
      <c r="G1176" s="1" t="str">
        <f>CONCATENATE("11.09.2013.",CHAR(10),"18 mjeseci")</f>
        <v>11.09.2013.
18 mjeseci</v>
      </c>
      <c r="H1176" s="1" t="str">
        <f>CONCATENATE("NERING PROJEKT D.O.O., ZAGREB",CHAR(10),"F.I.L.D. PROJEKT D.O.O., ZAGREB",CHAR(10),"PARTNER GRADNJA D.O.O., SESVETE",CHAR(10),"NORA DVA D.O.O., ZAGREB")</f>
        <v>NERING PROJEKT D.O.O., ZAGREB
F.I.L.D. PROJEKT D.O.O., ZAGREB
PARTNER GRADNJA D.O.O., SESVETE
NORA DVA D.O.O., ZAGREB</v>
      </c>
      <c r="I1176" s="1" t="s">
        <v>270</v>
      </c>
      <c r="J1176" s="1" t="str">
        <f>SUBSTITUTE(SUBSTITUTE(SUBSTITUTE("187,500.00",".","-"),",","."),"-",",")</f>
        <v>187.500,00</v>
      </c>
      <c r="K1176" s="2"/>
    </row>
    <row r="1177" spans="1:11" ht="63" x14ac:dyDescent="0.25">
      <c r="A1177" s="1" t="str">
        <f>"426/2013"</f>
        <v>426/2013</v>
      </c>
      <c r="B1177" s="1" t="s">
        <v>14</v>
      </c>
      <c r="C1177" s="1" t="s">
        <v>2432</v>
      </c>
      <c r="D1177" s="1" t="str">
        <f>CONCATENATE("1640-2013-EMV",CHAR(10),"2013/S 002-0059114 od 03.07.2013.")</f>
        <v>1640-2013-EMV
2013/S 002-0059114 od 03.07.2013.</v>
      </c>
      <c r="E1177" s="1" t="s">
        <v>15</v>
      </c>
      <c r="F1177" s="1" t="str">
        <f>"643.000,00"</f>
        <v>643.000,00</v>
      </c>
      <c r="G1177" s="1" t="str">
        <f>CONCATENATE("12.09.2013.",CHAR(10),"5 mjeseci")</f>
        <v>12.09.2013.
5 mjeseci</v>
      </c>
      <c r="H1177" s="1" t="str">
        <f>CONCATENATE("PROING D.O.O., ZAGREB",CHAR(10),"TERMOPROJEKT BOTICA D.O.O., ZADAR",CHAR(10),"ELAG D.O.O., ZAGREB")</f>
        <v>PROING D.O.O., ZAGREB
TERMOPROJEKT BOTICA D.O.O., ZADAR
ELAG D.O.O., ZAGREB</v>
      </c>
      <c r="I1177" s="1" t="s">
        <v>445</v>
      </c>
      <c r="J1177" s="1" t="str">
        <f>SUBSTITUTE(SUBSTITUTE(SUBSTITUTE("643,000.00",".","-"),",","."),"-",",")</f>
        <v>643.000,00</v>
      </c>
      <c r="K1177" s="2"/>
    </row>
    <row r="1178" spans="1:11" ht="47.25" x14ac:dyDescent="0.25">
      <c r="A1178" s="1" t="str">
        <f>"427/2013"</f>
        <v>427/2013</v>
      </c>
      <c r="B1178" s="1" t="s">
        <v>14</v>
      </c>
      <c r="C1178" s="1" t="s">
        <v>2433</v>
      </c>
      <c r="D1178" s="1" t="str">
        <f>CONCATENATE("2197-2013-EVV",CHAR(10),"2013/S 002-0054961 od 18.06.2013.")</f>
        <v>2197-2013-EVV
2013/S 002-0054961 od 18.06.2013.</v>
      </c>
      <c r="E1178" s="1" t="s">
        <v>15</v>
      </c>
      <c r="F1178" s="1" t="str">
        <f>"693.581,00"</f>
        <v>693.581,00</v>
      </c>
      <c r="G1178" s="1" t="str">
        <f>CONCATENATE("13.09.2013.",CHAR(10),"2 mjeseca")</f>
        <v>13.09.2013.
2 mjeseca</v>
      </c>
      <c r="H1178" s="1" t="str">
        <f>CONCATENATE("ŠKOLSKI SERVIS D.O.O., ZAGREB")</f>
        <v>ŠKOLSKI SERVIS D.O.O., ZAGREB</v>
      </c>
      <c r="I1178" s="1" t="s">
        <v>354</v>
      </c>
      <c r="J1178" s="1" t="str">
        <f>SUBSTITUTE(SUBSTITUTE(SUBSTITUTE("866,976.25",".","-"),",","."),"-",",")</f>
        <v>866.976,25</v>
      </c>
      <c r="K1178" s="2"/>
    </row>
    <row r="1179" spans="1:11" ht="63" x14ac:dyDescent="0.25">
      <c r="A1179" s="1" t="str">
        <f>"428/2013"</f>
        <v>428/2013</v>
      </c>
      <c r="B1179" s="1" t="s">
        <v>14</v>
      </c>
      <c r="C1179" s="1" t="s">
        <v>2434</v>
      </c>
      <c r="D1179" s="1" t="str">
        <f>CONCATENATE("758-2012-EMV",CHAR(10),"2012/S 002-0027036 od 04.06.2013.")</f>
        <v>758-2012-EMV
2012/S 002-0027036 od 04.06.2013.</v>
      </c>
      <c r="E1179" s="1" t="s">
        <v>15</v>
      </c>
      <c r="F1179" s="1" t="str">
        <f>"694.686,00"</f>
        <v>694.686,00</v>
      </c>
      <c r="G1179" s="1" t="str">
        <f>CONCATENATE("13.09.2013.",CHAR(10),"14 mjeseci")</f>
        <v>13.09.2013.
14 mjeseci</v>
      </c>
      <c r="H1179" s="1" t="str">
        <f>CONCATENATE("GRADNJAPROJEKT- ZAGREB D.O.O., ZAGREB",CHAR(10),"LJEVAONICA UMJETNINA ALU D.O.O., ZAGREB")</f>
        <v>GRADNJAPROJEKT- ZAGREB D.O.O., ZAGREB
LJEVAONICA UMJETNINA ALU D.O.O., ZAGREB</v>
      </c>
      <c r="I1179" s="1" t="s">
        <v>446</v>
      </c>
      <c r="J1179" s="1" t="str">
        <f>SUBSTITUTE(SUBSTITUTE(SUBSTITUTE("770,365.73",".","-"),",","."),"-",",")</f>
        <v>770.365,73</v>
      </c>
      <c r="K1179" s="2"/>
    </row>
    <row r="1180" spans="1:11" ht="47.25" x14ac:dyDescent="0.25">
      <c r="A1180" s="1" t="str">
        <f>"429/2013"</f>
        <v>429/2013</v>
      </c>
      <c r="B1180" s="1" t="s">
        <v>14</v>
      </c>
      <c r="C1180" s="1" t="s">
        <v>2435</v>
      </c>
      <c r="D1180" s="1" t="str">
        <f>CONCATENATE("1381-2013-EMV",CHAR(10),"2013/S 002-0059689 od 04.07.2013.")</f>
        <v>1381-2013-EMV
2013/S 002-0059689 od 04.07.2013.</v>
      </c>
      <c r="E1180" s="1" t="s">
        <v>15</v>
      </c>
      <c r="F1180" s="1" t="str">
        <f>"861.660,60"</f>
        <v>861.660,60</v>
      </c>
      <c r="G1180" s="1" t="str">
        <f>CONCATENATE("16.09.2013.",CHAR(10),"45 dana")</f>
        <v>16.09.2013.
45 dana</v>
      </c>
      <c r="H1180" s="1" t="str">
        <f>CONCATENATE("M. SOLDO D.O.O., ZAGREB",CHAR(10),"GEOGIS D.O.O., ZAGREB")</f>
        <v>M. SOLDO D.O.O., ZAGREB
GEOGIS D.O.O., ZAGREB</v>
      </c>
      <c r="I1180" s="1" t="s">
        <v>167</v>
      </c>
      <c r="J1180" s="1" t="str">
        <f>SUBSTITUTE(SUBSTITUTE(SUBSTITUTE("1,029,321.28",".","-"),",","."),"-",",")</f>
        <v>1.029.321,28</v>
      </c>
      <c r="K1180" s="2"/>
    </row>
    <row r="1181" spans="1:11" ht="47.25" x14ac:dyDescent="0.25">
      <c r="A1181" s="1" t="str">
        <f>"430/2013"</f>
        <v>430/2013</v>
      </c>
      <c r="B1181" s="1" t="s">
        <v>14</v>
      </c>
      <c r="C1181" s="1" t="s">
        <v>1799</v>
      </c>
      <c r="D1181" s="1" t="str">
        <f>CONCATENATE("351-2013-EMV",CHAR(10),"2013/S 002-0055297 od 19.06.2013.")</f>
        <v>351-2013-EMV
2013/S 002-0055297 od 19.06.2013.</v>
      </c>
      <c r="E1181" s="1" t="s">
        <v>15</v>
      </c>
      <c r="F1181" s="1" t="str">
        <f>"29.436,50"</f>
        <v>29.436,50</v>
      </c>
      <c r="G1181" s="1" t="str">
        <f>CONCATENATE("16.09.2013.",CHAR(10),"tijekom 12 mjeseci")</f>
        <v>16.09.2013.
tijekom 12 mjeseci</v>
      </c>
      <c r="H1181" s="1" t="str">
        <f>CONCATENATE("JURCON PROJEKT D.O.O., ZAGREB")</f>
        <v>JURCON PROJEKT D.O.O., ZAGREB</v>
      </c>
      <c r="I1181" s="1" t="s">
        <v>270</v>
      </c>
      <c r="J1181" s="1" t="str">
        <f>SUBSTITUTE(SUBSTITUTE(SUBSTITUTE("36,795.63",".","-"),",","."),"-",",")</f>
        <v>36.795,63</v>
      </c>
      <c r="K1181" s="2"/>
    </row>
    <row r="1182" spans="1:11" ht="47.25" x14ac:dyDescent="0.25">
      <c r="A1182" s="1" t="str">
        <f>"431/2013"</f>
        <v>431/2013</v>
      </c>
      <c r="B1182" s="1" t="s">
        <v>14</v>
      </c>
      <c r="C1182" s="1" t="s">
        <v>2436</v>
      </c>
      <c r="D1182" s="1" t="str">
        <f>CONCATENATE("1970-2013-EMV",CHAR(10),"2013/S 002-0048199 od 27.05.2013.")</f>
        <v>1970-2013-EMV
2013/S 002-0048199 od 27.05.2013.</v>
      </c>
      <c r="E1182" s="1" t="s">
        <v>15</v>
      </c>
      <c r="F1182" s="1" t="str">
        <f>"63.043,00"</f>
        <v>63.043,00</v>
      </c>
      <c r="G1182" s="1" t="str">
        <f>CONCATENATE("17.09.2013.",CHAR(10),"3 mjeseca")</f>
        <v>17.09.2013.
3 mjeseca</v>
      </c>
      <c r="H1182" s="1" t="str">
        <f>CONCATENATE("TEMEX D.O.O., ZAGREB",CHAR(10),"GEODATA D.O.O., ZAGREB")</f>
        <v>TEMEX D.O.O., ZAGREB
GEODATA D.O.O., ZAGREB</v>
      </c>
      <c r="I1182" s="1" t="s">
        <v>303</v>
      </c>
      <c r="J1182" s="1" t="str">
        <f>SUBSTITUTE(SUBSTITUTE(SUBSTITUTE("61,195.00",".","-"),",","."),"-",",")</f>
        <v>61.195,00</v>
      </c>
      <c r="K1182" s="2"/>
    </row>
    <row r="1183" spans="1:11" ht="47.25" x14ac:dyDescent="0.25">
      <c r="A1183" s="1" t="str">
        <f>"432/2013"</f>
        <v>432/2013</v>
      </c>
      <c r="B1183" s="1" t="s">
        <v>14</v>
      </c>
      <c r="C1183" s="1" t="s">
        <v>2437</v>
      </c>
      <c r="D1183" s="1" t="str">
        <f>CONCATENATE("6-2013-EMV",CHAR(10),"2013/S 015-0074216 od 02.09.2013.")</f>
        <v>6-2013-EMV
2013/S 015-0074216 od 02.09.2013.</v>
      </c>
      <c r="E1183" s="1" t="s">
        <v>40</v>
      </c>
      <c r="F1183" s="1" t="str">
        <f>"23.746,00"</f>
        <v>23.746,00</v>
      </c>
      <c r="G1183" s="1" t="str">
        <f>CONCATENATE("17.09.2013.",CHAR(10),"do konačnog izvršenja usluge")</f>
        <v>17.09.2013.
do konačnog izvršenja usluge</v>
      </c>
      <c r="H1183" s="1" t="str">
        <f>CONCATENATE("ZAVOD ZA HITNU MEDICINU GRADA ZAGREBA, ZAGREB")</f>
        <v>ZAVOD ZA HITNU MEDICINU GRADA ZAGREBA, ZAGREB</v>
      </c>
      <c r="I1183" s="2"/>
      <c r="J1183" s="1"/>
      <c r="K1183" s="2"/>
    </row>
    <row r="1184" spans="1:11" ht="47.25" x14ac:dyDescent="0.25">
      <c r="A1184" s="1" t="str">
        <f>"433/2013"</f>
        <v>433/2013</v>
      </c>
      <c r="B1184" s="1" t="s">
        <v>14</v>
      </c>
      <c r="C1184" s="1" t="s">
        <v>859</v>
      </c>
      <c r="D1184" s="1" t="str">
        <f>CONCATENATE("368-2013-EMV",CHAR(10),"2014/S 015-0040100 od 25.08.2014.")</f>
        <v>368-2013-EMV
2014/S 015-0040100 od 25.08.2014.</v>
      </c>
      <c r="E1184" s="1" t="s">
        <v>12</v>
      </c>
      <c r="F1184" s="1" t="str">
        <f>"689.069,80"</f>
        <v>689.069,80</v>
      </c>
      <c r="G1184" s="1" t="str">
        <f>CONCATENATE("17.09.2013.",CHAR(10),"tijekom 12 mjeseci")</f>
        <v>17.09.2013.
tijekom 12 mjeseci</v>
      </c>
      <c r="H1184" s="1" t="str">
        <f>CONCATENATE("NARODNE NOVINE D.D., ZAGREB")</f>
        <v>NARODNE NOVINE D.D., ZAGREB</v>
      </c>
      <c r="I1184" s="1" t="s">
        <v>447</v>
      </c>
      <c r="J1184" s="1" t="str">
        <f>SUBSTITUTE(SUBSTITUTE(SUBSTITUTE("542,760.04",".","-"),",","."),"-",",")</f>
        <v>542.760,04</v>
      </c>
      <c r="K1184" s="2"/>
    </row>
    <row r="1185" spans="1:11" ht="47.25" x14ac:dyDescent="0.25">
      <c r="A1185" s="1" t="str">
        <f>"434/2013"</f>
        <v>434/2013</v>
      </c>
      <c r="B1185" s="1" t="s">
        <v>14</v>
      </c>
      <c r="C1185" s="1" t="s">
        <v>2438</v>
      </c>
      <c r="D1185" s="1" t="str">
        <f>CONCATENATE("1646-2013-EMV",CHAR(10),"2013/S 002-0053147 od 12.06.2013.")</f>
        <v>1646-2013-EMV
2013/S 002-0053147 od 12.06.2013.</v>
      </c>
      <c r="E1185" s="1" t="s">
        <v>15</v>
      </c>
      <c r="F1185" s="1" t="str">
        <f>"238.000,00"</f>
        <v>238.000,00</v>
      </c>
      <c r="G1185" s="1" t="str">
        <f>CONCATENATE("18.09.2013.",CHAR(10),"6 mjeseci")</f>
        <v>18.09.2013.
6 mjeseci</v>
      </c>
      <c r="H1185" s="1" t="str">
        <f>CONCATENATE("OIKON D.O.O., ZAGREB")</f>
        <v>OIKON D.O.O., ZAGREB</v>
      </c>
      <c r="I1185" s="2"/>
      <c r="J1185" s="1"/>
      <c r="K1185" s="2"/>
    </row>
    <row r="1186" spans="1:11" ht="94.5" x14ac:dyDescent="0.25">
      <c r="A1186" s="1" t="str">
        <f>"435/2013"</f>
        <v>435/2013</v>
      </c>
      <c r="B1186" s="1" t="s">
        <v>14</v>
      </c>
      <c r="C1186" s="1" t="s">
        <v>2439</v>
      </c>
      <c r="D1186" s="1" t="str">
        <f>CONCATENATE("1168-2013-EMV",CHAR(10),"2013/S 002-00056941 od 25.06.2013.")</f>
        <v>1168-2013-EMV
2013/S 002-00056941 od 25.06.2013.</v>
      </c>
      <c r="E1186" s="1" t="s">
        <v>15</v>
      </c>
      <c r="F1186" s="1" t="str">
        <f>"1.475.650,00"</f>
        <v>1.475.650,00</v>
      </c>
      <c r="G1186" s="1" t="str">
        <f>CONCATENATE("18.09.2013.",CHAR(10),"1 godina")</f>
        <v>18.09.2013.
1 godina</v>
      </c>
      <c r="H1186" s="1" t="str">
        <f>CONCATENATE("LJEVAONICA UMJETNINA ALU D.O.O., ZAGREB")</f>
        <v>LJEVAONICA UMJETNINA ALU D.O.O., ZAGREB</v>
      </c>
      <c r="I1186" s="2"/>
      <c r="J1186" s="1"/>
      <c r="K1186" s="2"/>
    </row>
    <row r="1187" spans="1:11" ht="47.25" x14ac:dyDescent="0.25">
      <c r="A1187" s="1" t="str">
        <f>"436/2013"</f>
        <v>436/2013</v>
      </c>
      <c r="B1187" s="1" t="s">
        <v>14</v>
      </c>
      <c r="C1187" s="1" t="s">
        <v>2440</v>
      </c>
      <c r="D1187" s="1" t="str">
        <f>CONCATENATE("514-2013-EMV",CHAR(10),"2013/S 002-0060145 od 05.07.2013.")</f>
        <v>514-2013-EMV
2013/S 002-0060145 od 05.07.2013.</v>
      </c>
      <c r="E1187" s="1" t="s">
        <v>15</v>
      </c>
      <c r="F1187" s="1" t="str">
        <f>"1.027.941,50"</f>
        <v>1.027.941,50</v>
      </c>
      <c r="G1187" s="1" t="str">
        <f>CONCATENATE("18.09.2013.",CHAR(10),"90 dana")</f>
        <v>18.09.2013.
90 dana</v>
      </c>
      <c r="H1187" s="1" t="str">
        <f>CONCATENATE("HEDOM D.O.O., ZAGREB")</f>
        <v>HEDOM D.O.O., ZAGREB</v>
      </c>
      <c r="I1187" s="1" t="s">
        <v>448</v>
      </c>
      <c r="J1187" s="1" t="str">
        <f>SUBSTITUTE(SUBSTITUTE(SUBSTITUTE("1,284,686.31",".","-"),",","."),"-",",")</f>
        <v>1.284.686,31</v>
      </c>
      <c r="K1187" s="2"/>
    </row>
    <row r="1188" spans="1:11" ht="47.25" x14ac:dyDescent="0.25">
      <c r="A1188" s="1" t="str">
        <f>"437/2013"</f>
        <v>437/2013</v>
      </c>
      <c r="B1188" s="1" t="s">
        <v>14</v>
      </c>
      <c r="C1188" s="1" t="s">
        <v>2441</v>
      </c>
      <c r="D1188" s="1" t="str">
        <f>CONCATENATE("2030-2013-EMV",CHAR(10),"2013/S 002-0059194 od 03.07.2013.")</f>
        <v>2030-2013-EMV
2013/S 002-0059194 od 03.07.2013.</v>
      </c>
      <c r="E1188" s="1" t="s">
        <v>15</v>
      </c>
      <c r="F1188" s="1" t="str">
        <f>"112.000,00"</f>
        <v>112.000,00</v>
      </c>
      <c r="G1188" s="1" t="str">
        <f>CONCATENATE("19.09.2013.",CHAR(10),"60 dana")</f>
        <v>19.09.2013.
60 dana</v>
      </c>
      <c r="H1188" s="1" t="str">
        <f>CONCATENATE("ARHINGTRADE D.O.O., ZAGREB",CHAR(10),"PROJEKTNI URED KANCELJAK MARELIĆ D.O.O., ZAGREB")</f>
        <v>ARHINGTRADE D.O.O., ZAGREB
PROJEKTNI URED KANCELJAK MARELIĆ D.O.O., ZAGREB</v>
      </c>
      <c r="I1188" s="2"/>
      <c r="J1188" s="1"/>
      <c r="K1188" s="2"/>
    </row>
    <row r="1189" spans="1:11" ht="47.25" x14ac:dyDescent="0.25">
      <c r="A1189" s="1" t="str">
        <f>"438/2013"</f>
        <v>438/2013</v>
      </c>
      <c r="B1189" s="1" t="s">
        <v>14</v>
      </c>
      <c r="C1189" s="1" t="s">
        <v>2442</v>
      </c>
      <c r="D1189" s="1" t="str">
        <f>CONCATENATE("1932-2013-EMV",CHAR(10),"2013/S 002-0060441 od 05.07.2013.")</f>
        <v>1932-2013-EMV
2013/S 002-0060441 od 05.07.2013.</v>
      </c>
      <c r="E1189" s="1" t="s">
        <v>15</v>
      </c>
      <c r="F1189" s="1" t="str">
        <f>"60.789,00"</f>
        <v>60.789,00</v>
      </c>
      <c r="G1189" s="1" t="str">
        <f>CONCATENATE("19.09.2013.",CHAR(10),"2 mjeseca")</f>
        <v>19.09.2013.
2 mjeseca</v>
      </c>
      <c r="H1189" s="1" t="str">
        <f>CONCATENATE("SECURUS D.O.O., ZAGREB",CHAR(10),"VIDICOM-INSTALACIJE D.O.O., ZAGREB")</f>
        <v>SECURUS D.O.O., ZAGREB
VIDICOM-INSTALACIJE D.O.O., ZAGREB</v>
      </c>
      <c r="I1189" s="1" t="s">
        <v>449</v>
      </c>
      <c r="J1189" s="1" t="str">
        <f>SUBSTITUTE(SUBSTITUTE(SUBSTITUTE("75,845.00",".","-"),",","."),"-",",")</f>
        <v>75.845,00</v>
      </c>
      <c r="K1189" s="2"/>
    </row>
    <row r="1190" spans="1:11" ht="47.25" x14ac:dyDescent="0.25">
      <c r="A1190" s="1" t="str">
        <f>"439/2013"</f>
        <v>439/2013</v>
      </c>
      <c r="B1190" s="1" t="s">
        <v>14</v>
      </c>
      <c r="C1190" s="1" t="s">
        <v>2443</v>
      </c>
      <c r="D1190" s="1" t="str">
        <f>CONCATENATE("1471-2013-EMV",CHAR(10),"2013/S 002-0059628 od 04.07.2013.")</f>
        <v>1471-2013-EMV
2013/S 002-0059628 od 04.07.2013.</v>
      </c>
      <c r="E1190" s="1" t="s">
        <v>15</v>
      </c>
      <c r="F1190" s="1" t="str">
        <f>"1.090.000,00"</f>
        <v>1.090.000,00</v>
      </c>
      <c r="G1190" s="1" t="str">
        <f>CONCATENATE("19.09.2013.",CHAR(10),"12 mjeseci")</f>
        <v>19.09.2013.
12 mjeseci</v>
      </c>
      <c r="H1190" s="1" t="str">
        <f>CONCATENATE("ZAGREBAČKI HOLDING D.O.O., PODRUŽNICA ZRINJEVAC, ZAGREB")</f>
        <v>ZAGREBAČKI HOLDING D.O.O., PODRUŽNICA ZRINJEVAC, ZAGREB</v>
      </c>
      <c r="I1190" s="1" t="s">
        <v>254</v>
      </c>
      <c r="J1190" s="1" t="str">
        <f>SUBSTITUTE(SUBSTITUTE(SUBSTITUTE("1,359,828.37",".","-"),",","."),"-",",")</f>
        <v>1.359.828,37</v>
      </c>
      <c r="K1190" s="2"/>
    </row>
    <row r="1191" spans="1:11" ht="47.25" x14ac:dyDescent="0.25">
      <c r="A1191" s="1" t="str">
        <f>"440/2013"</f>
        <v>440/2013</v>
      </c>
      <c r="B1191" s="1" t="s">
        <v>14</v>
      </c>
      <c r="C1191" s="1" t="s">
        <v>2444</v>
      </c>
      <c r="D1191" s="1" t="str">
        <f>CONCATENATE("2833-2013-EVV",CHAR(10),"2013/S 015-0076031 od 09.09.2013.")</f>
        <v>2833-2013-EVV
2013/S 015-0076031 od 09.09.2013.</v>
      </c>
      <c r="E1191" s="1" t="s">
        <v>12</v>
      </c>
      <c r="F1191" s="1" t="str">
        <f>"923.076,28"</f>
        <v>923.076,28</v>
      </c>
      <c r="G1191" s="1" t="str">
        <f>CONCATENATE("20.09.2013.",CHAR(10),"60 dana")</f>
        <v>20.09.2013.
60 dana</v>
      </c>
      <c r="H1191" s="1" t="str">
        <f>CONCATENATE("EBC SISTEMI D.O.O., ZAGREB")</f>
        <v>EBC SISTEMI D.O.O., ZAGREB</v>
      </c>
      <c r="I1191" s="1" t="s">
        <v>450</v>
      </c>
      <c r="J1191" s="1" t="str">
        <f>SUBSTITUTE(SUBSTITUTE(SUBSTITUTE("1,153,845.35",".","-"),",","."),"-",",")</f>
        <v>1.153.845,35</v>
      </c>
      <c r="K1191" s="2"/>
    </row>
    <row r="1192" spans="1:11" ht="47.25" x14ac:dyDescent="0.25">
      <c r="A1192" s="1" t="str">
        <f>"441/2013"</f>
        <v>441/2013</v>
      </c>
      <c r="B1192" s="1" t="s">
        <v>14</v>
      </c>
      <c r="C1192" s="1" t="s">
        <v>2445</v>
      </c>
      <c r="D1192" s="1" t="str">
        <f>CONCATENATE("2287-2013-EMV",CHAR(10),"2013/S 002-0066558 od 26.07.2013.")</f>
        <v>2287-2013-EMV
2013/S 002-0066558 od 26.07.2013.</v>
      </c>
      <c r="E1192" s="1" t="s">
        <v>15</v>
      </c>
      <c r="F1192" s="1" t="str">
        <f>"422.052,30"</f>
        <v>422.052,30</v>
      </c>
      <c r="G1192" s="1" t="str">
        <f>CONCATENATE("20.09.2013.",CHAR(10),"60 dana")</f>
        <v>20.09.2013.
60 dana</v>
      </c>
      <c r="H1192" s="1" t="str">
        <f>CONCATENATE("RETEL D.O.O., ZAGREB")</f>
        <v>RETEL D.O.O., ZAGREB</v>
      </c>
      <c r="I1192" s="1" t="s">
        <v>329</v>
      </c>
      <c r="J1192" s="1" t="str">
        <f>SUBSTITUTE(SUBSTITUTE(SUBSTITUTE("527,565.38",".","-"),",","."),"-",",")</f>
        <v>527.565,38</v>
      </c>
      <c r="K1192" s="2"/>
    </row>
    <row r="1193" spans="1:11" ht="47.25" x14ac:dyDescent="0.25">
      <c r="A1193" s="1" t="str">
        <f>"442/2013"</f>
        <v>442/2013</v>
      </c>
      <c r="B1193" s="1" t="s">
        <v>14</v>
      </c>
      <c r="C1193" s="1" t="s">
        <v>2446</v>
      </c>
      <c r="D1193" s="1" t="str">
        <f>CONCATENATE("1912-2013-EMV",CHAR(10),"2013/S 002-0065263 od 23.07.2013.")</f>
        <v>1912-2013-EMV
2013/S 002-0065263 od 23.07.2013.</v>
      </c>
      <c r="E1193" s="1" t="s">
        <v>15</v>
      </c>
      <c r="F1193" s="1" t="str">
        <f>"178.462,80"</f>
        <v>178.462,80</v>
      </c>
      <c r="G1193" s="1" t="str">
        <f>CONCATENATE("20.09.2013.",CHAR(10),"3 mjeseca")</f>
        <v>20.09.2013.
3 mjeseca</v>
      </c>
      <c r="H1193" s="1" t="str">
        <f>CONCATENATE("SPEKTAR GRADNJA D.O.O., ZAGREB")</f>
        <v>SPEKTAR GRADNJA D.O.O., ZAGREB</v>
      </c>
      <c r="I1193" s="1" t="s">
        <v>451</v>
      </c>
      <c r="J1193" s="1" t="str">
        <f>SUBSTITUTE(SUBSTITUTE(SUBSTITUTE("223,078.50",".","-"),",","."),"-",",")</f>
        <v>223.078,50</v>
      </c>
      <c r="K1193" s="2"/>
    </row>
    <row r="1194" spans="1:11" ht="47.25" x14ac:dyDescent="0.25">
      <c r="A1194" s="1" t="str">
        <f>"443/2013"</f>
        <v>443/2013</v>
      </c>
      <c r="B1194" s="1" t="s">
        <v>14</v>
      </c>
      <c r="C1194" s="1" t="s">
        <v>2447</v>
      </c>
      <c r="D1194" s="1" t="str">
        <f>CONCATENATE("489-2013-EMV",CHAR(10),"2013/S 002-0053460 od 13.06.2013.")</f>
        <v>489-2013-EMV
2013/S 002-0053460 od 13.06.2013.</v>
      </c>
      <c r="E1194" s="1" t="s">
        <v>15</v>
      </c>
      <c r="F1194" s="1" t="str">
        <f>"216.247,90"</f>
        <v>216.247,90</v>
      </c>
      <c r="G1194" s="1" t="str">
        <f>CONCATENATE("20.09.2013.",CHAR(10),"30 dana")</f>
        <v>20.09.2013.
30 dana</v>
      </c>
      <c r="H1194" s="1" t="str">
        <f>CONCATENATE("GREGIĆ PROMET D.O.O., ZAGREB")</f>
        <v>GREGIĆ PROMET D.O.O., ZAGREB</v>
      </c>
      <c r="I1194" s="1" t="s">
        <v>452</v>
      </c>
      <c r="J1194" s="1" t="str">
        <f>SUBSTITUTE(SUBSTITUTE(SUBSTITUTE("270,309.88",".","-"),",","."),"-",",")</f>
        <v>270.309,88</v>
      </c>
      <c r="K1194" s="2"/>
    </row>
    <row r="1195" spans="1:11" ht="78.75" x14ac:dyDescent="0.25">
      <c r="A1195" s="1" t="str">
        <f>"444/2013"</f>
        <v>444/2013</v>
      </c>
      <c r="B1195" s="1" t="s">
        <v>14</v>
      </c>
      <c r="C1195" s="1" t="s">
        <v>2448</v>
      </c>
      <c r="D1195" s="1" t="str">
        <f>CONCATENATE("1378-2013-EMV",CHAR(10),"2013/S 002-0055763 od 20.06.2013, isp. 2013/S 014-0061802 od 09.07.2013.")</f>
        <v>1378-2013-EMV
2013/S 002-0055763 od 20.06.2013, isp. 2013/S 014-0061802 od 09.07.2013.</v>
      </c>
      <c r="E1195" s="1" t="s">
        <v>15</v>
      </c>
      <c r="F1195" s="1" t="str">
        <f>"1.106.134,00"</f>
        <v>1.106.134,00</v>
      </c>
      <c r="G1195" s="1" t="str">
        <f>CONCATENATE("23.09.2013.",CHAR(10),"6 mjeseci")</f>
        <v>23.09.2013.
6 mjeseci</v>
      </c>
      <c r="H1195" s="1" t="str">
        <f>CONCATENATE("GIP PIONIR D.O.O., ZAGREB",CHAR(10),"MGV D.O.O., ZAGREB",CHAR(10),"CSS D.O.O., ZAGREB")</f>
        <v>GIP PIONIR D.O.O., ZAGREB
MGV D.O.O., ZAGREB
CSS D.O.O., ZAGREB</v>
      </c>
      <c r="I1195" s="2"/>
      <c r="J1195" s="1"/>
      <c r="K1195" s="2"/>
    </row>
    <row r="1196" spans="1:11" ht="110.25" x14ac:dyDescent="0.25">
      <c r="A1196" s="1" t="str">
        <f>"445/2013"</f>
        <v>445/2013</v>
      </c>
      <c r="B1196" s="1" t="s">
        <v>14</v>
      </c>
      <c r="C1196" s="1" t="s">
        <v>2449</v>
      </c>
      <c r="D1196" s="1" t="str">
        <f>CONCATENATE("487-2013-EMV",CHAR(10),"2013/S 002-0045740 od 20.05.2013, isp. 2013/S 014-0050511 od 04.06.2013, isp. 2013/S 014-0052030 od 10.06.2013.")</f>
        <v>487-2013-EMV
2013/S 002-0045740 od 20.05.2013, isp. 2013/S 014-0050511 od 04.06.2013, isp. 2013/S 014-0052030 od 10.06.2013.</v>
      </c>
      <c r="E1196" s="1" t="s">
        <v>15</v>
      </c>
      <c r="F1196" s="1" t="str">
        <f>"628.640,84"</f>
        <v>628.640,84</v>
      </c>
      <c r="G1196" s="1" t="str">
        <f>CONCATENATE("23.09.2013.",CHAR(10),"70 dana")</f>
        <v>23.09.2013.
70 dana</v>
      </c>
      <c r="H1196" s="1" t="str">
        <f>CONCATENATE("EMAX D.O.O., OSIJEK")</f>
        <v>EMAX D.O.O., OSIJEK</v>
      </c>
      <c r="I1196" s="1" t="s">
        <v>453</v>
      </c>
      <c r="J1196" s="1" t="str">
        <f>SUBSTITUTE(SUBSTITUTE(SUBSTITUTE("785,792.25",".","-"),",","."),"-",",")</f>
        <v>785.792,25</v>
      </c>
      <c r="K1196" s="2"/>
    </row>
    <row r="1197" spans="1:11" ht="47.25" x14ac:dyDescent="0.25">
      <c r="A1197" s="1" t="str">
        <f>"A-85/2013"</f>
        <v>A-85/2013</v>
      </c>
      <c r="B1197" s="1" t="s">
        <v>11</v>
      </c>
      <c r="C1197" s="1" t="s">
        <v>454</v>
      </c>
      <c r="D1197" s="1" t="str">
        <f>"2068-2012-EMV"</f>
        <v>2068-2012-EMV</v>
      </c>
      <c r="E1197" s="2"/>
      <c r="F1197" s="1" t="str">
        <f>"0,00"</f>
        <v>0,00</v>
      </c>
      <c r="G1197" s="1" t="str">
        <f>CONCATENATE("23.09.2013.",CHAR(10),"do 01.03.2014.")</f>
        <v>23.09.2013.
do 01.03.2014.</v>
      </c>
      <c r="H1197" s="1" t="str">
        <f>CONCATENATE("TELEKTRA D.O.O., SESVETE")</f>
        <v>TELEKTRA D.O.O., SESVETE</v>
      </c>
      <c r="I1197" s="2"/>
      <c r="J1197" s="1"/>
      <c r="K1197" s="2"/>
    </row>
    <row r="1198" spans="1:11" ht="47.25" x14ac:dyDescent="0.25">
      <c r="A1198" s="1" t="str">
        <f>"446/2013"</f>
        <v>446/2013</v>
      </c>
      <c r="B1198" s="1" t="s">
        <v>26</v>
      </c>
      <c r="C1198" s="1" t="s">
        <v>2450</v>
      </c>
      <c r="D1198" s="1" t="str">
        <f>"137-2012-EVV"</f>
        <v>137-2012-EVV</v>
      </c>
      <c r="E1198" s="2"/>
      <c r="F1198" s="1" t="str">
        <f>"1.360.800,00"</f>
        <v>1.360.800,00</v>
      </c>
      <c r="G1198" s="1" t="str">
        <f>CONCATENATE("23.09.2013.",CHAR(10),"12 mjeseci")</f>
        <v>23.09.2013.
12 mjeseci</v>
      </c>
      <c r="H1198" s="1" t="str">
        <f>CONCATENATE("OMEGA SOFTWARE D.O.O., ZAGREB-SLOBOŠTINA")</f>
        <v>OMEGA SOFTWARE D.O.O., ZAGREB-SLOBOŠTINA</v>
      </c>
      <c r="I1198" s="1" t="s">
        <v>171</v>
      </c>
      <c r="J1198" s="1" t="str">
        <f>SUBSTITUTE(SUBSTITUTE(SUBSTITUTE("1,560,516.13",".","-"),",","."),"-",",")</f>
        <v>1.560.516,13</v>
      </c>
      <c r="K1198" s="2"/>
    </row>
    <row r="1199" spans="1:11" ht="47.25" x14ac:dyDescent="0.25">
      <c r="A1199" s="1" t="str">
        <f>"447/2013"</f>
        <v>447/2013</v>
      </c>
      <c r="B1199" s="1" t="s">
        <v>14</v>
      </c>
      <c r="C1199" s="1" t="s">
        <v>2451</v>
      </c>
      <c r="D1199" s="1" t="str">
        <f>CONCATENATE("362-2013-EMV",CHAR(10),"2013/S 002-0063606 od 16.07.2013.")</f>
        <v>362-2013-EMV
2013/S 002-0063606 od 16.07.2013.</v>
      </c>
      <c r="E1199" s="1" t="s">
        <v>15</v>
      </c>
      <c r="F1199" s="1" t="str">
        <f>"78.306,00"</f>
        <v>78.306,00</v>
      </c>
      <c r="G1199" s="1" t="str">
        <f>CONCATENATE("23.09.2013.",CHAR(10),"30 dana")</f>
        <v>23.09.2013.
30 dana</v>
      </c>
      <c r="H1199" s="1" t="str">
        <f>CONCATENATE("RIO TRGOVINA D.O.O., RIJEKA")</f>
        <v>RIO TRGOVINA D.O.O., RIJEKA</v>
      </c>
      <c r="I1199" s="1" t="s">
        <v>248</v>
      </c>
      <c r="J1199" s="1" t="str">
        <f>SUBSTITUTE(SUBSTITUTE(SUBSTITUTE("91,887.50",".","-"),",","."),"-",",")</f>
        <v>91.887,50</v>
      </c>
      <c r="K1199" s="2"/>
    </row>
    <row r="1200" spans="1:11" ht="63" x14ac:dyDescent="0.25">
      <c r="A1200" s="1" t="str">
        <f>"448/2013"</f>
        <v>448/2013</v>
      </c>
      <c r="B1200" s="1" t="s">
        <v>14</v>
      </c>
      <c r="C1200" s="1" t="s">
        <v>2452</v>
      </c>
      <c r="D1200" s="1" t="str">
        <f>CONCATENATE("349-2013-EMV",CHAR(10),"2013/S 002-0054695 od 18.06.2013.")</f>
        <v>349-2013-EMV
2013/S 002-0054695 od 18.06.2013.</v>
      </c>
      <c r="E1200" s="1" t="s">
        <v>15</v>
      </c>
      <c r="F1200" s="1" t="str">
        <f>"136.000,00"</f>
        <v>136.000,00</v>
      </c>
      <c r="G1200" s="1" t="str">
        <f>CONCATENATE("23.09.2013.",CHAR(10),"60 dana")</f>
        <v>23.09.2013.
60 dana</v>
      </c>
      <c r="H1200" s="1" t="str">
        <f>CONCATENATE("ARHINGTRADE D.O.O., ZAGREB")</f>
        <v>ARHINGTRADE D.O.O., ZAGREB</v>
      </c>
      <c r="I1200" s="1" t="s">
        <v>203</v>
      </c>
      <c r="J1200" s="1" t="str">
        <f>SUBSTITUTE(SUBSTITUTE(SUBSTITUTE("126,000.00",".","-"),",","."),"-",",")</f>
        <v>126.000,00</v>
      </c>
      <c r="K1200" s="2"/>
    </row>
    <row r="1201" spans="1:11" ht="47.25" x14ac:dyDescent="0.25">
      <c r="A1201" s="1" t="str">
        <f>"449/2013"</f>
        <v>449/2013</v>
      </c>
      <c r="B1201" s="1" t="s">
        <v>14</v>
      </c>
      <c r="C1201" s="1" t="s">
        <v>2453</v>
      </c>
      <c r="D1201" s="1" t="str">
        <f>CONCATENATE("1096-2013-EMV",CHAR(10),"2013/S 002-0057815 od 28.06.2013.")</f>
        <v>1096-2013-EMV
2013/S 002-0057815 od 28.06.2013.</v>
      </c>
      <c r="E1201" s="1" t="s">
        <v>15</v>
      </c>
      <c r="F1201" s="1" t="str">
        <f>"841.430,00"</f>
        <v>841.430,00</v>
      </c>
      <c r="G1201" s="1" t="str">
        <f>CONCATENATE("23.09.2013.",CHAR(10),"3 mjeseca")</f>
        <v>23.09.2013.
3 mjeseca</v>
      </c>
      <c r="H1201" s="1" t="str">
        <f>CONCATENATE("GRADIMONT D.O.O., ZAGREB",CHAR(10),"DEZINSEKCIJA D.O.O., RIJEKA")</f>
        <v>GRADIMONT D.O.O., ZAGREB
DEZINSEKCIJA D.O.O., RIJEKA</v>
      </c>
      <c r="I1201" s="1" t="s">
        <v>74</v>
      </c>
      <c r="J1201" s="1" t="str">
        <f>SUBSTITUTE(SUBSTITUTE(SUBSTITUTE("889,472.71",".","-"),",","."),"-",",")</f>
        <v>889.472,71</v>
      </c>
      <c r="K1201" s="2"/>
    </row>
    <row r="1202" spans="1:11" ht="47.25" x14ac:dyDescent="0.25">
      <c r="A1202" s="1" t="str">
        <f>"450/2013"</f>
        <v>450/2013</v>
      </c>
      <c r="B1202" s="1" t="s">
        <v>14</v>
      </c>
      <c r="C1202" s="1" t="s">
        <v>2454</v>
      </c>
      <c r="D1202" s="1" t="str">
        <f>CONCATENATE("1934-2013-EMV",CHAR(10),"2013/S 002-0060122 od 05.07.2013.")</f>
        <v>1934-2013-EMV
2013/S 002-0060122 od 05.07.2013.</v>
      </c>
      <c r="E1202" s="1" t="s">
        <v>15</v>
      </c>
      <c r="F1202" s="1" t="str">
        <f>"84.831,00"</f>
        <v>84.831,00</v>
      </c>
      <c r="G1202" s="1" t="str">
        <f>CONCATENATE("24.09.2013.",CHAR(10),"3 mjeseca")</f>
        <v>24.09.2013.
3 mjeseca</v>
      </c>
      <c r="H1202" s="1" t="str">
        <f>CONCATENATE("INDUSTRY IMPEX D.O.O., SPLIT")</f>
        <v>INDUSTRY IMPEX D.O.O., SPLIT</v>
      </c>
      <c r="I1202" s="1" t="s">
        <v>269</v>
      </c>
      <c r="J1202" s="1" t="str">
        <f>SUBSTITUTE(SUBSTITUTE(SUBSTITUTE("106,038.75",".","-"),",","."),"-",",")</f>
        <v>106.038,75</v>
      </c>
      <c r="K1202" s="2"/>
    </row>
    <row r="1203" spans="1:11" ht="94.5" x14ac:dyDescent="0.25">
      <c r="A1203" s="1" t="str">
        <f>"451/2013"</f>
        <v>451/2013</v>
      </c>
      <c r="B1203" s="1" t="s">
        <v>14</v>
      </c>
      <c r="C1203" s="1" t="s">
        <v>2455</v>
      </c>
      <c r="D1203" s="1" t="str">
        <f>CONCATENATE("1168-2013-EMV",CHAR(10),"2013/S 002-00056941 od 25.06.2013.")</f>
        <v>1168-2013-EMV
2013/S 002-00056941 od 25.06.2013.</v>
      </c>
      <c r="E1203" s="1" t="s">
        <v>15</v>
      </c>
      <c r="F1203" s="1" t="str">
        <f>"1.496.000,00"</f>
        <v>1.496.000,00</v>
      </c>
      <c r="G1203" s="1" t="str">
        <f>CONCATENATE("25.09.2013.",CHAR(10),"1 godina")</f>
        <v>25.09.2013.
1 godina</v>
      </c>
      <c r="H1203" s="1" t="str">
        <f>CONCATENATE("LJEVAONICA UMJETNINA UJEVIĆ D.O.O., ZAGREB-SUSEDGRAD")</f>
        <v>LJEVAONICA UMJETNINA UJEVIĆ D.O.O., ZAGREB-SUSEDGRAD</v>
      </c>
      <c r="I1203" s="2"/>
      <c r="J1203" s="1"/>
      <c r="K1203" s="2"/>
    </row>
    <row r="1204" spans="1:11" ht="78.75" x14ac:dyDescent="0.25">
      <c r="A1204" s="1" t="str">
        <f>"452/2013"</f>
        <v>452/2013</v>
      </c>
      <c r="B1204" s="1" t="s">
        <v>14</v>
      </c>
      <c r="C1204" s="1" t="s">
        <v>2456</v>
      </c>
      <c r="D1204" s="1" t="str">
        <f>CONCATENATE("2465-2012-EMV",CHAR(10),"2013/S 002-0005267 od 23.01.2013, isp. 2013/S 014-0010848 od 08.02.2013.")</f>
        <v>2465-2012-EMV
2013/S 002-0005267 od 23.01.2013, isp. 2013/S 014-0010848 od 08.02.2013.</v>
      </c>
      <c r="E1204" s="1" t="s">
        <v>15</v>
      </c>
      <c r="F1204" s="1" t="str">
        <f>"999.505,50"</f>
        <v>999.505,50</v>
      </c>
      <c r="G1204" s="1" t="str">
        <f>CONCATENATE("25.09.2013.",CHAR(10),"90 dana")</f>
        <v>25.09.2013.
90 dana</v>
      </c>
      <c r="H1204" s="1" t="str">
        <f>CONCATENATE("TITAN CONSTRUCTA D.O.O., ZAGREB",CHAR(10),"MGV D.O.O., ZAGREB",CHAR(10),"PORTAL GRAĐEVINSKI OBRT, VL. MISLAV REBIĆ, IMOTSKI")</f>
        <v>TITAN CONSTRUCTA D.O.O., ZAGREB
MGV D.O.O., ZAGREB
PORTAL GRAĐEVINSKI OBRT, VL. MISLAV REBIĆ, IMOTSKI</v>
      </c>
      <c r="I1204" s="2"/>
      <c r="J1204" s="1"/>
      <c r="K1204" s="2"/>
    </row>
    <row r="1205" spans="1:11" ht="47.25" x14ac:dyDescent="0.25">
      <c r="A1205" s="1" t="str">
        <f>"453/2013"</f>
        <v>453/2013</v>
      </c>
      <c r="B1205" s="1" t="s">
        <v>14</v>
      </c>
      <c r="C1205" s="1" t="s">
        <v>2457</v>
      </c>
      <c r="D1205" s="1" t="str">
        <f>CONCATENATE("2273-2013-EMV",CHAR(10),"2013/S 002-0060729 od 08.07.2013.")</f>
        <v>2273-2013-EMV
2013/S 002-0060729 od 08.07.2013.</v>
      </c>
      <c r="E1205" s="1" t="s">
        <v>15</v>
      </c>
      <c r="F1205" s="1" t="str">
        <f>"1.945.552,00"</f>
        <v>1.945.552,00</v>
      </c>
      <c r="G1205" s="1" t="str">
        <f>CONCATENATE("30.09.2013.",CHAR(10),"5 mjeseci")</f>
        <v>30.09.2013.
5 mjeseci</v>
      </c>
      <c r="H1205" s="1" t="str">
        <f>CONCATENATE("M. SOLDO D.O.O., ZAGREB",CHAR(10),"GEOGIS D.O.O., ZAGREB",CHAR(10),"CSS D.O.O., ZAGREB")</f>
        <v>M. SOLDO D.O.O., ZAGREB
GEOGIS D.O.O., ZAGREB
CSS D.O.O., ZAGREB</v>
      </c>
      <c r="I1205" s="2"/>
      <c r="J1205" s="1"/>
      <c r="K1205" s="2"/>
    </row>
    <row r="1206" spans="1:11" ht="47.25" x14ac:dyDescent="0.25">
      <c r="A1206" s="1" t="str">
        <f>"454/2013"</f>
        <v>454/2013</v>
      </c>
      <c r="B1206" s="1" t="s">
        <v>14</v>
      </c>
      <c r="C1206" s="1" t="s">
        <v>2458</v>
      </c>
      <c r="D1206" s="1" t="str">
        <f>CONCATENATE("1348-2013-EMV",CHAR(10),"2013/S 002-0057362 od 27.06.2013.")</f>
        <v>1348-2013-EMV
2013/S 002-0057362 od 27.06.2013.</v>
      </c>
      <c r="E1206" s="1" t="s">
        <v>15</v>
      </c>
      <c r="F1206" s="1" t="str">
        <f>"233.843,20"</f>
        <v>233.843,20</v>
      </c>
      <c r="G1206" s="1" t="str">
        <f>CONCATENATE("30.09.2013.",CHAR(10),"30 dana")</f>
        <v>30.09.2013.
30 dana</v>
      </c>
      <c r="H1206" s="1" t="str">
        <f>CONCATENATE("PRIGORAC-GRAĐENJE D.O.O., SESVETE",CHAR(10),"MGV D.O.O., ZAGREB")</f>
        <v>PRIGORAC-GRAĐENJE D.O.O., SESVETE
MGV D.O.O., ZAGREB</v>
      </c>
      <c r="I1206" s="2"/>
      <c r="J1206" s="1"/>
      <c r="K1206" s="2"/>
    </row>
    <row r="1207" spans="1:11" ht="31.5" x14ac:dyDescent="0.25">
      <c r="A1207" s="1" t="str">
        <f>"A-87/2013"</f>
        <v>A-87/2013</v>
      </c>
      <c r="B1207" s="1" t="s">
        <v>11</v>
      </c>
      <c r="C1207" s="1" t="s">
        <v>455</v>
      </c>
      <c r="D1207" s="1" t="str">
        <f>"747-2012-EMV"</f>
        <v>747-2012-EMV</v>
      </c>
      <c r="E1207" s="2"/>
      <c r="F1207" s="1" t="str">
        <f>"0,00"</f>
        <v>0,00</v>
      </c>
      <c r="G1207" s="1" t="str">
        <f>CONCATENATE("01.10.2013.",CHAR(10),"do 21.10.2013.")</f>
        <v>01.10.2013.
do 21.10.2013.</v>
      </c>
      <c r="H1207" s="1" t="str">
        <f>CONCATENATE("HEDOM D.O.O., ZAGREB")</f>
        <v>HEDOM D.O.O., ZAGREB</v>
      </c>
      <c r="I1207" s="2"/>
      <c r="J1207" s="1"/>
      <c r="K1207" s="2"/>
    </row>
    <row r="1208" spans="1:11" ht="47.25" x14ac:dyDescent="0.25">
      <c r="A1208" s="1" t="str">
        <f>"455/2013"</f>
        <v>455/2013</v>
      </c>
      <c r="B1208" s="1" t="s">
        <v>14</v>
      </c>
      <c r="C1208" s="1" t="s">
        <v>2459</v>
      </c>
      <c r="D1208" s="1" t="str">
        <f>CONCATENATE("515-2013-EMV",CHAR(10),"2013/S 002-0058067 od 01.07.2013.")</f>
        <v>515-2013-EMV
2013/S 002-0058067 od 01.07.2013.</v>
      </c>
      <c r="E1208" s="1" t="s">
        <v>15</v>
      </c>
      <c r="F1208" s="1" t="str">
        <f>"1.654.342,40"</f>
        <v>1.654.342,40</v>
      </c>
      <c r="G1208" s="1" t="str">
        <f>CONCATENATE("01.10.2013.",CHAR(10),"90 dana")</f>
        <v>01.10.2013.
90 dana</v>
      </c>
      <c r="H1208" s="1" t="str">
        <f>CONCATENATE("HEDOM D.O.O., ZAGREB")</f>
        <v>HEDOM D.O.O., ZAGREB</v>
      </c>
      <c r="I1208" s="1" t="s">
        <v>195</v>
      </c>
      <c r="J1208" s="1" t="str">
        <f>SUBSTITUTE(SUBSTITUTE(SUBSTITUTE("2,051,911.15",".","-"),",","."),"-",",")</f>
        <v>2.051.911,15</v>
      </c>
      <c r="K1208" s="2"/>
    </row>
    <row r="1209" spans="1:11" ht="47.25" x14ac:dyDescent="0.25">
      <c r="A1209" s="1" t="str">
        <f>"456/2013"</f>
        <v>456/2013</v>
      </c>
      <c r="B1209" s="1" t="s">
        <v>14</v>
      </c>
      <c r="C1209" s="1" t="s">
        <v>2460</v>
      </c>
      <c r="D1209" s="1" t="str">
        <f>CONCATENATE("1382-2013-EMV",CHAR(10),"2013/S 002-0059401 od 03.07.2013.")</f>
        <v>1382-2013-EMV
2013/S 002-0059401 od 03.07.2013.</v>
      </c>
      <c r="E1209" s="1" t="s">
        <v>15</v>
      </c>
      <c r="F1209" s="1" t="str">
        <f>"884.401,68"</f>
        <v>884.401,68</v>
      </c>
      <c r="G1209" s="1" t="str">
        <f>CONCATENATE("02.10.2013.",CHAR(10),"45 dana")</f>
        <v>02.10.2013.
45 dana</v>
      </c>
      <c r="H1209" s="1" t="str">
        <f>CONCATENATE("P.G.P. D.O.O., ZAGREB",CHAR(10),"GEO MEDIA D.O.O., ZAGREB-DUBRAVA")</f>
        <v>P.G.P. D.O.O., ZAGREB
GEO MEDIA D.O.O., ZAGREB-DUBRAVA</v>
      </c>
      <c r="I1209" s="2"/>
      <c r="J1209" s="1"/>
      <c r="K1209" s="2"/>
    </row>
    <row r="1210" spans="1:11" ht="63" x14ac:dyDescent="0.25">
      <c r="A1210" s="1" t="str">
        <f>"457/2013"</f>
        <v>457/2013</v>
      </c>
      <c r="B1210" s="1" t="s">
        <v>14</v>
      </c>
      <c r="C1210" s="1" t="s">
        <v>2461</v>
      </c>
      <c r="D1210" s="1" t="str">
        <f>CONCATENATE("2205-2013-EMV",CHAR(10),"2013/S 002-0054230 od 17.06.2013.")</f>
        <v>2205-2013-EMV
2013/S 002-0054230 od 17.06.2013.</v>
      </c>
      <c r="E1210" s="1" t="s">
        <v>15</v>
      </c>
      <c r="F1210" s="1" t="str">
        <f>"113.360,00"</f>
        <v>113.360,00</v>
      </c>
      <c r="G1210" s="1" t="str">
        <f>CONCATENATE("03.10.2013.",CHAR(10),"geotehnički elaborat i idejni projekt u roku 60 dana, a glavni projekt u roku 30 dana")</f>
        <v>03.10.2013.
geotehnički elaborat i idejni projekt u roku 60 dana, a glavni projekt u roku 30 dana</v>
      </c>
      <c r="H1210" s="1" t="str">
        <f>CONCATENATE("GEOTECH D.O.O., RIJEKA",CHAR(10),"GEOFOCUS D.O.O., ZAGREB",CHAR(10),"RIJEKAPROJEKT-GEOTEHNIČKO ISTRAŽIVANJE D.O.O., RIJEKA")</f>
        <v>GEOTECH D.O.O., RIJEKA
GEOFOCUS D.O.O., ZAGREB
RIJEKAPROJEKT-GEOTEHNIČKO ISTRAŽIVANJE D.O.O., RIJEKA</v>
      </c>
      <c r="I1210" s="2"/>
      <c r="J1210" s="1"/>
      <c r="K1210" s="2"/>
    </row>
    <row r="1211" spans="1:11" ht="47.25" x14ac:dyDescent="0.25">
      <c r="A1211" s="1" t="str">
        <f>"458/2013"</f>
        <v>458/2013</v>
      </c>
      <c r="B1211" s="1" t="s">
        <v>14</v>
      </c>
      <c r="C1211" s="1" t="s">
        <v>2462</v>
      </c>
      <c r="D1211" s="1" t="str">
        <f>CONCATENATE("1292-2013-EMV",CHAR(10),"2013/S 002-00259566 od 04.07.2013.")</f>
        <v>1292-2013-EMV
2013/S 002-00259566 od 04.07.2013.</v>
      </c>
      <c r="E1211" s="1" t="s">
        <v>15</v>
      </c>
      <c r="F1211" s="1" t="str">
        <f>"1.595.957,38"</f>
        <v>1.595.957,38</v>
      </c>
      <c r="G1211" s="1" t="str">
        <f>CONCATENATE("03.10.2013.",CHAR(10),"120 dana")</f>
        <v>03.10.2013.
120 dana</v>
      </c>
      <c r="H1211" s="1" t="str">
        <f>CONCATENATE("PEEK PROMET D.O.O., ZAGREB",CHAR(10),"GEODETIKA D.O.O., ZAGREB")</f>
        <v>PEEK PROMET D.O.O., ZAGREB
GEODETIKA D.O.O., ZAGREB</v>
      </c>
      <c r="I1211" s="2"/>
      <c r="J1211" s="1"/>
      <c r="K1211" s="2"/>
    </row>
    <row r="1212" spans="1:11" ht="47.25" x14ac:dyDescent="0.25">
      <c r="A1212" s="1" t="str">
        <f>"459/2013"</f>
        <v>459/2013</v>
      </c>
      <c r="B1212" s="1" t="s">
        <v>14</v>
      </c>
      <c r="C1212" s="1" t="s">
        <v>2463</v>
      </c>
      <c r="D1212" s="1" t="str">
        <f>CONCATENATE("1997-2013-EMV",CHAR(10),"2013/S 002-0061323 od 09.07.2013.")</f>
        <v>1997-2013-EMV
2013/S 002-0061323 od 09.07.2013.</v>
      </c>
      <c r="E1212" s="1" t="s">
        <v>15</v>
      </c>
      <c r="F1212" s="1" t="str">
        <f>"149.720,40"</f>
        <v>149.720,40</v>
      </c>
      <c r="G1212" s="1" t="str">
        <f>CONCATENATE("03.10.2013.",CHAR(10),"3 mjeseca")</f>
        <v>03.10.2013.
3 mjeseca</v>
      </c>
      <c r="H1212" s="1" t="str">
        <f>CONCATENATE("O.K.I. MONT D.O.O., ZAGREB",CHAR(10),"KEMIS-TERMOCLEAN D.O.O., ZAGREB")</f>
        <v>O.K.I. MONT D.O.O., ZAGREB
KEMIS-TERMOCLEAN D.O.O., ZAGREB</v>
      </c>
      <c r="I1212" s="1" t="s">
        <v>431</v>
      </c>
      <c r="J1212" s="1" t="str">
        <f>SUBSTITUTE(SUBSTITUTE(SUBSTITUTE("186,740.26",".","-"),",","."),"-",",")</f>
        <v>186.740,26</v>
      </c>
      <c r="K1212" s="2"/>
    </row>
    <row r="1213" spans="1:11" ht="47.25" x14ac:dyDescent="0.25">
      <c r="A1213" s="1" t="str">
        <f>"460/2013"</f>
        <v>460/2013</v>
      </c>
      <c r="B1213" s="1" t="s">
        <v>14</v>
      </c>
      <c r="C1213" s="1" t="s">
        <v>2015</v>
      </c>
      <c r="D1213" s="1" t="str">
        <f>CONCATENATE("4-2013-EMV",CHAR(10),"2013/S 002-0063484 od 16.07.2013.")</f>
        <v>4-2013-EMV
2013/S 002-0063484 od 16.07.2013.</v>
      </c>
      <c r="E1213" s="1" t="s">
        <v>15</v>
      </c>
      <c r="F1213" s="1" t="str">
        <f>"49.240,00"</f>
        <v>49.240,00</v>
      </c>
      <c r="G1213" s="1" t="str">
        <f>CONCATENATE("03.10.2013.",CHAR(10),"12 mjeseci")</f>
        <v>03.10.2013.
12 mjeseci</v>
      </c>
      <c r="H1213" s="1" t="str">
        <f>CONCATENATE("AUTOTURIST SAMOBOR D.O.O., SAMOBOR")</f>
        <v>AUTOTURIST SAMOBOR D.O.O., SAMOBOR</v>
      </c>
      <c r="I1213" s="2"/>
      <c r="J1213" s="1"/>
      <c r="K1213" s="2"/>
    </row>
    <row r="1214" spans="1:11" ht="47.25" x14ac:dyDescent="0.25">
      <c r="A1214" s="1" t="str">
        <f>"461/2013"</f>
        <v>461/2013</v>
      </c>
      <c r="B1214" s="1" t="s">
        <v>14</v>
      </c>
      <c r="C1214" s="1" t="s">
        <v>2464</v>
      </c>
      <c r="D1214" s="1" t="str">
        <f>CONCATENATE("2366-2013-EMV",CHAR(10),"2013/S 014-0079743 od 24.09.2013.")</f>
        <v>2366-2013-EMV
2013/S 014-0079743 od 24.09.2013.</v>
      </c>
      <c r="E1214" s="1" t="s">
        <v>12</v>
      </c>
      <c r="F1214" s="1" t="str">
        <f>"340.000,00"</f>
        <v>340.000,00</v>
      </c>
      <c r="G1214" s="1" t="str">
        <f>CONCATENATE("07.10.2013.",CHAR(10),"4 mjeseca")</f>
        <v>07.10.2013.
4 mjeseca</v>
      </c>
      <c r="H1214" s="1" t="str">
        <f>CONCATENATE("OMEGA SOFTWARE D.O.O., ZAGREB-SLOBOŠTINA")</f>
        <v>OMEGA SOFTWARE D.O.O., ZAGREB-SLOBOŠTINA</v>
      </c>
      <c r="I1214" s="1" t="s">
        <v>409</v>
      </c>
      <c r="J1214" s="1" t="str">
        <f>SUBSTITUTE(SUBSTITUTE(SUBSTITUTE("425,000.00",".","-"),",","."),"-",",")</f>
        <v>425.000,00</v>
      </c>
      <c r="K1214" s="2"/>
    </row>
    <row r="1215" spans="1:11" ht="78.75" x14ac:dyDescent="0.25">
      <c r="A1215" s="1" t="str">
        <f>"462/2013"</f>
        <v>462/2013</v>
      </c>
      <c r="B1215" s="1" t="s">
        <v>136</v>
      </c>
      <c r="C1215" s="1" t="s">
        <v>2465</v>
      </c>
      <c r="D1215" s="1" t="str">
        <f>CONCATENATE("378-2012-EVV-2",CHAR(10),"2013/S 002-0008213 od 31.01.2013., ispr. 2013/S 014-0009416 od 05.02.2013.")</f>
        <v>378-2012-EVV-2
2013/S 002-0008213 od 31.01.2013., ispr. 2013/S 014-0009416 od 05.02.2013.</v>
      </c>
      <c r="E1215" s="1" t="s">
        <v>366</v>
      </c>
      <c r="F1215" s="1" t="str">
        <f>"4.264.496,00"</f>
        <v>4.264.496,00</v>
      </c>
      <c r="G1215" s="1" t="str">
        <f>CONCATENATE("07.10.2013.",CHAR(10),"4 godine")</f>
        <v>07.10.2013.
4 godine</v>
      </c>
      <c r="H1215" s="1" t="str">
        <f>CONCATENATE("VUGRINEC D.O.O., DUBRAVICA",CHAR(10),"PIK VRBOVEC-MESNA INDUSTRIJA D.D., VRBOVEC",CHAR(10),"IGO-MAT D.O.O., BREGANA")</f>
        <v>VUGRINEC D.O.O., DUBRAVICA
PIK VRBOVEC-MESNA INDUSTRIJA D.D., VRBOVEC
IGO-MAT D.O.O., BREGANA</v>
      </c>
      <c r="I1215" s="2"/>
      <c r="J1215" s="1"/>
      <c r="K1215" s="2"/>
    </row>
    <row r="1216" spans="1:11" ht="78.75" x14ac:dyDescent="0.25">
      <c r="A1216" s="1" t="str">
        <f>"463/2013"</f>
        <v>463/2013</v>
      </c>
      <c r="B1216" s="1" t="s">
        <v>136</v>
      </c>
      <c r="C1216" s="1" t="s">
        <v>2466</v>
      </c>
      <c r="D1216" s="1" t="str">
        <f>CONCATENATE("378-2012-EVV-2",CHAR(10),"2013/S 002-0008213 od 31.01.2013., ispr. 2013/S 014-0009416 od 05.02.2013.")</f>
        <v>378-2012-EVV-2
2013/S 002-0008213 od 31.01.2013., ispr. 2013/S 014-0009416 od 05.02.2013.</v>
      </c>
      <c r="E1216" s="1" t="s">
        <v>366</v>
      </c>
      <c r="F1216" s="1" t="str">
        <f>"4.948.292,64"</f>
        <v>4.948.292,64</v>
      </c>
      <c r="G1216" s="1" t="str">
        <f>CONCATENATE("07.10.2013.",CHAR(10),"4 godine")</f>
        <v>07.10.2013.
4 godine</v>
      </c>
      <c r="H1216" s="1" t="str">
        <f>CONCATENATE("PIK VRBOVEC-MESNA INDUSTRIJA D.D., VRBOVEC",CHAR(10),"VUGRINEC D.O.O., DUBRAVICA",CHAR(10),"IGO-MAT D.O.O., BREGANA")</f>
        <v>PIK VRBOVEC-MESNA INDUSTRIJA D.D., VRBOVEC
VUGRINEC D.O.O., DUBRAVICA
IGO-MAT D.O.O., BREGANA</v>
      </c>
      <c r="I1216" s="2"/>
      <c r="J1216" s="1"/>
      <c r="K1216" s="2"/>
    </row>
    <row r="1217" spans="1:11" ht="78.75" x14ac:dyDescent="0.25">
      <c r="A1217" s="1" t="str">
        <f>"464/2013"</f>
        <v>464/2013</v>
      </c>
      <c r="B1217" s="1" t="s">
        <v>136</v>
      </c>
      <c r="C1217" s="1" t="s">
        <v>2467</v>
      </c>
      <c r="D1217" s="1" t="str">
        <f>CONCATENATE("378-2012-EVV-2",CHAR(10),"2013/S 002-0008213 od 31.01.2013, ispr. 2013/S 014-0009416 od 05.02.2013.")</f>
        <v>378-2012-EVV-2
2013/S 002-0008213 od 31.01.2013, ispr. 2013/S 014-0009416 od 05.02.2013.</v>
      </c>
      <c r="E1217" s="1" t="s">
        <v>366</v>
      </c>
      <c r="F1217" s="1" t="str">
        <f>"4.325.445,40"</f>
        <v>4.325.445,40</v>
      </c>
      <c r="G1217" s="1" t="str">
        <f>CONCATENATE("07.10.2013.",CHAR(10),"4 godine")</f>
        <v>07.10.2013.
4 godine</v>
      </c>
      <c r="H1217" s="1" t="str">
        <f>CONCATENATE("PIK VRBOVEC-MESNA INDUSTRIJA D.D., VRBOVEC",CHAR(10),"VUGRINEC D.O.O., DUBRAVICA",CHAR(10),"MESNA INDUSTRIJA-VAJDA D.D., ČAKOVEC")</f>
        <v>PIK VRBOVEC-MESNA INDUSTRIJA D.D., VRBOVEC
VUGRINEC D.O.O., DUBRAVICA
MESNA INDUSTRIJA-VAJDA D.D., ČAKOVEC</v>
      </c>
      <c r="I1217" s="2"/>
      <c r="J1217" s="1"/>
      <c r="K1217" s="2"/>
    </row>
    <row r="1218" spans="1:11" ht="78.75" x14ac:dyDescent="0.25">
      <c r="A1218" s="1" t="str">
        <f>"465/2013"</f>
        <v>465/2013</v>
      </c>
      <c r="B1218" s="1" t="s">
        <v>136</v>
      </c>
      <c r="C1218" s="1" t="s">
        <v>2468</v>
      </c>
      <c r="D1218" s="1" t="str">
        <f>CONCATENATE("378-2012-EVV-2",CHAR(10),"2013/S 002-0008213 od 31.01.2013., ispr. br. 2013/S 014-0009416 od 05.02.2013.")</f>
        <v>378-2012-EVV-2
2013/S 002-0008213 od 31.01.2013., ispr. br. 2013/S 014-0009416 od 05.02.2013.</v>
      </c>
      <c r="E1218" s="1" t="s">
        <v>366</v>
      </c>
      <c r="F1218" s="1" t="str">
        <f>"6.401.384,64"</f>
        <v>6.401.384,64</v>
      </c>
      <c r="G1218" s="1" t="str">
        <f>CONCATENATE("07.10.2013.",CHAR(10),"4 godine")</f>
        <v>07.10.2013.
4 godine</v>
      </c>
      <c r="H1218" s="1" t="str">
        <f>CONCATENATE("PIK VRBOVEC-MESNA INDUSTRIJA D.D., VRBOVEC",CHAR(10),"MESNA INDUSTRIJA-VAJDA D.D., ČAKOVEC",CHAR(10),"IGO-MAT D.O.O., BREGANA")</f>
        <v>PIK VRBOVEC-MESNA INDUSTRIJA D.D., VRBOVEC
MESNA INDUSTRIJA-VAJDA D.D., ČAKOVEC
IGO-MAT D.O.O., BREGANA</v>
      </c>
      <c r="I1218" s="2"/>
      <c r="J1218" s="1"/>
      <c r="K1218" s="2"/>
    </row>
    <row r="1219" spans="1:11" ht="78.75" x14ac:dyDescent="0.25">
      <c r="A1219" s="1" t="str">
        <f>"466/2013"</f>
        <v>466/2013</v>
      </c>
      <c r="B1219" s="1" t="s">
        <v>136</v>
      </c>
      <c r="C1219" s="1" t="s">
        <v>2469</v>
      </c>
      <c r="D1219" s="1" t="str">
        <f>CONCATENATE("378-2012-EVV-2",CHAR(10),"2013/S 002-0008213 od 31.01.2013, ispr. br. 2013/S 014-0009416 od 05.02.2013.")</f>
        <v>378-2012-EVV-2
2013/S 002-0008213 od 31.01.2013, ispr. br. 2013/S 014-0009416 od 05.02.2013.</v>
      </c>
      <c r="E1219" s="1" t="s">
        <v>366</v>
      </c>
      <c r="F1219" s="1" t="str">
        <f>"6.396.553,24"</f>
        <v>6.396.553,24</v>
      </c>
      <c r="G1219" s="1" t="str">
        <f>CONCATENATE("07.10.2013.",CHAR(10),"4 godine")</f>
        <v>07.10.2013.
4 godine</v>
      </c>
      <c r="H1219" s="1" t="str">
        <f>CONCATENATE("PIK VRBOVEC-MESNA INDUSTRIJA D.D., VRBOVEC",CHAR(10),"IGO-MAT D.O.O., BREGANA",CHAR(10),"PPK KARLOVAČKA MESNA INDUSTRIJA D.D., KARLOVAC")</f>
        <v>PIK VRBOVEC-MESNA INDUSTRIJA D.D., VRBOVEC
IGO-MAT D.O.O., BREGANA
PPK KARLOVAČKA MESNA INDUSTRIJA D.D., KARLOVAC</v>
      </c>
      <c r="I1219" s="2"/>
      <c r="J1219" s="1"/>
      <c r="K1219" s="2"/>
    </row>
    <row r="1220" spans="1:11" ht="94.5" x14ac:dyDescent="0.25">
      <c r="A1220" s="1" t="str">
        <f>"467/2013"</f>
        <v>467/2013</v>
      </c>
      <c r="B1220" s="1" t="s">
        <v>14</v>
      </c>
      <c r="C1220" s="1" t="s">
        <v>2470</v>
      </c>
      <c r="D1220" s="1" t="str">
        <f>CONCATENATE("244-2013-EMV",CHAR(10),"2013/S 002-0059232 od 03.07.2013., 2013/S 014-0065725 od 24.07.2013., 2013/S 014-0068152 od 01.08.2013.")</f>
        <v>244-2013-EMV
2013/S 002-0059232 od 03.07.2013., 2013/S 014-0065725 od 24.07.2013., 2013/S 014-0068152 od 01.08.2013.</v>
      </c>
      <c r="E1220" s="1" t="s">
        <v>15</v>
      </c>
      <c r="F1220" s="1" t="str">
        <f>"518.637,19"</f>
        <v>518.637,19</v>
      </c>
      <c r="G1220" s="1" t="str">
        <f>CONCATENATE("10.10.2013.",CHAR(10),"45 dana")</f>
        <v>10.10.2013.
45 dana</v>
      </c>
      <c r="H1220" s="1" t="str">
        <f>CONCATENATE("MARKOJA D.O.O.,",CHAR(10),"RECRO-NET D.O.O., ZAGREB-SLOBOŠTINA",CHAR(10),"PRO INTEGRIS D.O.O., SPLIT")</f>
        <v>MARKOJA D.O.O.,
RECRO-NET D.O.O., ZAGREB-SLOBOŠTINA
PRO INTEGRIS D.O.O., SPLIT</v>
      </c>
      <c r="I1220" s="1" t="s">
        <v>456</v>
      </c>
      <c r="J1220" s="1" t="str">
        <f>SUBSTITUTE(SUBSTITUTE(SUBSTITUTE("611,093.03",".","-"),",","."),"-",",")</f>
        <v>611.093,03</v>
      </c>
      <c r="K1220" s="2"/>
    </row>
    <row r="1221" spans="1:11" ht="31.5" x14ac:dyDescent="0.25">
      <c r="A1221" s="1" t="str">
        <f>"A-88/2013"</f>
        <v>A-88/2013</v>
      </c>
      <c r="B1221" s="1" t="s">
        <v>11</v>
      </c>
      <c r="C1221" s="1" t="s">
        <v>457</v>
      </c>
      <c r="D1221" s="1" t="str">
        <f>"2949-2013-EMV"</f>
        <v>2949-2013-EMV</v>
      </c>
      <c r="E1221" s="2"/>
      <c r="F1221" s="1" t="str">
        <f>"0,00"</f>
        <v>0,00</v>
      </c>
      <c r="G1221" s="1" t="str">
        <f>CONCATENATE("11.10.2013.",CHAR(10),"do 31.10.2013.")</f>
        <v>11.10.2013.
do 31.10.2013.</v>
      </c>
      <c r="H1221" s="1" t="str">
        <f>CONCATENATE("DIV D.O.O., SAMOBOR")</f>
        <v>DIV D.O.O., SAMOBOR</v>
      </c>
      <c r="I1221" s="2"/>
      <c r="J1221" s="1"/>
      <c r="K1221" s="2"/>
    </row>
    <row r="1222" spans="1:11" ht="47.25" x14ac:dyDescent="0.25">
      <c r="A1222" s="1" t="str">
        <f>"468/2013"</f>
        <v>468/2013</v>
      </c>
      <c r="B1222" s="1" t="s">
        <v>14</v>
      </c>
      <c r="C1222" s="1" t="s">
        <v>2471</v>
      </c>
      <c r="D1222" s="1" t="str">
        <f>CONCATENATE("484-2013-EMV",CHAR(10),"2013/S 002-0057343 od 27.06.2013.")</f>
        <v>484-2013-EMV
2013/S 002-0057343 od 27.06.2013.</v>
      </c>
      <c r="E1222" s="1" t="s">
        <v>15</v>
      </c>
      <c r="F1222" s="1" t="str">
        <f>"827.372,00"</f>
        <v>827.372,00</v>
      </c>
      <c r="G1222" s="1" t="str">
        <f>CONCATENATE("11.10.2013.",CHAR(10),"60 dana")</f>
        <v>11.10.2013.
60 dana</v>
      </c>
      <c r="H1222" s="1" t="str">
        <f>CONCATENATE("GRADIMONT D.O.O., ZAGREB")</f>
        <v>GRADIMONT D.O.O., ZAGREB</v>
      </c>
      <c r="I1222" s="1" t="s">
        <v>242</v>
      </c>
      <c r="J1222" s="1" t="str">
        <f>SUBSTITUTE(SUBSTITUTE(SUBSTITUTE("1,008,199.45",".","-"),",","."),"-",",")</f>
        <v>1.008.199,45</v>
      </c>
      <c r="K1222" s="2"/>
    </row>
    <row r="1223" spans="1:11" ht="47.25" x14ac:dyDescent="0.25">
      <c r="A1223" s="1" t="str">
        <f>"469/2013"</f>
        <v>469/2013</v>
      </c>
      <c r="B1223" s="1" t="s">
        <v>14</v>
      </c>
      <c r="C1223" s="1" t="s">
        <v>2472</v>
      </c>
      <c r="D1223" s="1" t="str">
        <f>CONCATENATE("1113-2013-EMV",CHAR(10),"2013/S 002-0066012 od 25.07.2013.")</f>
        <v>1113-2013-EMV
2013/S 002-0066012 od 25.07.2013.</v>
      </c>
      <c r="E1223" s="1" t="s">
        <v>15</v>
      </c>
      <c r="F1223" s="1" t="str">
        <f>"999.786,00"</f>
        <v>999.786,00</v>
      </c>
      <c r="G1223" s="1" t="str">
        <f>CONCATENATE("14.10.2013.",CHAR(10),"3 mjeseca")</f>
        <v>14.10.2013.
3 mjeseca</v>
      </c>
      <c r="H1223" s="1" t="str">
        <f>CONCATENATE("PRIMAT- LOGISTIKA D.O.O., HRVATSKI LESKOVAC",CHAR(10),"FESTTA D.O.O., ZAGREB")</f>
        <v>PRIMAT- LOGISTIKA D.O.O., HRVATSKI LESKOVAC
FESTTA D.O.O., ZAGREB</v>
      </c>
      <c r="I1223" s="1" t="s">
        <v>458</v>
      </c>
      <c r="J1223" s="1" t="str">
        <f>SUBSTITUTE(SUBSTITUTE(SUBSTITUTE("1,244,880.00",".","-"),",","."),"-",",")</f>
        <v>1.244.880,00</v>
      </c>
      <c r="K1223" s="2"/>
    </row>
    <row r="1224" spans="1:11" ht="78.75" x14ac:dyDescent="0.25">
      <c r="A1224" s="1" t="str">
        <f>"470/2013"</f>
        <v>470/2013</v>
      </c>
      <c r="B1224" s="1" t="s">
        <v>14</v>
      </c>
      <c r="C1224" s="1" t="s">
        <v>2473</v>
      </c>
      <c r="D1224" s="1" t="str">
        <f>CONCATENATE("1945-2013-EMV",CHAR(10),"2013/S-002-0058292 od 01.07.2013.")</f>
        <v>1945-2013-EMV
2013/S-002-0058292 od 01.07.2013.</v>
      </c>
      <c r="E1224" s="1" t="s">
        <v>15</v>
      </c>
      <c r="F1224" s="1" t="str">
        <f>"94.000,00"</f>
        <v>94.000,00</v>
      </c>
      <c r="G1224" s="1" t="str">
        <f>CONCATENATE("14.10.2013.",CHAR(10),"12 mjeseci")</f>
        <v>14.10.2013.
12 mjeseci</v>
      </c>
      <c r="H1224" s="1" t="str">
        <f>CONCATENATE("ARHINGTRADE D.O.O., ZAGREB",CHAR(10),"HVAT D.O.O., SAMOBOR")</f>
        <v>ARHINGTRADE D.O.O., ZAGREB
HVAT D.O.O., SAMOBOR</v>
      </c>
      <c r="I1224" s="2"/>
      <c r="J1224" s="1"/>
      <c r="K1224" s="2"/>
    </row>
    <row r="1225" spans="1:11" ht="110.25" x14ac:dyDescent="0.25">
      <c r="A1225" s="1" t="str">
        <f>"472/2013"</f>
        <v>472/2013</v>
      </c>
      <c r="B1225" s="1" t="s">
        <v>14</v>
      </c>
      <c r="C1225" s="1" t="s">
        <v>2474</v>
      </c>
      <c r="D1225" s="1" t="str">
        <f>CONCATENATE("1946-2013-EMV",CHAR(10),"2013/S 002-0057793 od 28.06.2013.")</f>
        <v>1946-2013-EMV
2013/S 002-0057793 od 28.06.2013.</v>
      </c>
      <c r="E1225" s="1" t="s">
        <v>15</v>
      </c>
      <c r="F1225" s="1" t="str">
        <f>"59.000,00"</f>
        <v>59.000,00</v>
      </c>
      <c r="G1225" s="1" t="str">
        <f>CONCATENATE("14.10.2013.",CHAR(10),"12 mjeseci")</f>
        <v>14.10.2013.
12 mjeseci</v>
      </c>
      <c r="H1225" s="1" t="str">
        <f>CONCATENATE("ARHINGTRADE D.O.O., ZAGREB",CHAR(10),"HVAT D.O.O., SAMOBOR")</f>
        <v>ARHINGTRADE D.O.O., ZAGREB
HVAT D.O.O., SAMOBOR</v>
      </c>
      <c r="I1225" s="2"/>
      <c r="J1225" s="1"/>
      <c r="K1225" s="2"/>
    </row>
    <row r="1226" spans="1:11" ht="63" x14ac:dyDescent="0.25">
      <c r="A1226" s="1" t="str">
        <f>"473/2013"</f>
        <v>473/2013</v>
      </c>
      <c r="B1226" s="1" t="s">
        <v>14</v>
      </c>
      <c r="C1226" s="1" t="s">
        <v>1997</v>
      </c>
      <c r="D1226" s="1" t="str">
        <f>CONCATENATE("1347-2013-EMV",CHAR(10),"2013/S 002-0060220 od 05.07.2013.")</f>
        <v>1347-2013-EMV
2013/S 002-0060220 od 05.07.2013.</v>
      </c>
      <c r="E1226" s="1" t="s">
        <v>15</v>
      </c>
      <c r="F1226" s="1" t="str">
        <f>"122.360,00"</f>
        <v>122.360,00</v>
      </c>
      <c r="G1226" s="1" t="str">
        <f>CONCATENATE("14.10.2013.",CHAR(10),"12 mjeseci")</f>
        <v>14.10.2013.
12 mjeseci</v>
      </c>
      <c r="H1226" s="1" t="str">
        <f>CONCATENATE("GEOPROJEKT D.O.O., ZAGREB")</f>
        <v>GEOPROJEKT D.O.O., ZAGREB</v>
      </c>
      <c r="I1226" s="2"/>
      <c r="J1226" s="1"/>
      <c r="K1226" s="2"/>
    </row>
    <row r="1227" spans="1:11" ht="47.25" x14ac:dyDescent="0.25">
      <c r="A1227" s="1" t="str">
        <f>"474/2013"</f>
        <v>474/2013</v>
      </c>
      <c r="B1227" s="1" t="s">
        <v>14</v>
      </c>
      <c r="C1227" s="1" t="s">
        <v>2475</v>
      </c>
      <c r="D1227" s="1" t="str">
        <f>CONCATENATE("503-2013-EMV",CHAR(10),"2013/S 002-0067751 od 31.07.2013.")</f>
        <v>503-2013-EMV
2013/S 002-0067751 od 31.07.2013.</v>
      </c>
      <c r="E1227" s="1" t="s">
        <v>15</v>
      </c>
      <c r="F1227" s="1" t="str">
        <f>"499.620,00"</f>
        <v>499.620,00</v>
      </c>
      <c r="G1227" s="1" t="str">
        <f>CONCATENATE("14.10.2013.",CHAR(10),"60 dana")</f>
        <v>14.10.2013.
60 dana</v>
      </c>
      <c r="H1227" s="1" t="str">
        <f>CONCATENATE("E.G.S.-ELEKTROGRADITELJSTVO D.O.O., ZAGREB")</f>
        <v>E.G.S.-ELEKTROGRADITELJSTVO D.O.O., ZAGREB</v>
      </c>
      <c r="I1227" s="1" t="s">
        <v>459</v>
      </c>
      <c r="J1227" s="1" t="str">
        <f>SUBSTITUTE(SUBSTITUTE(SUBSTITUTE("624,525.00",".","-"),",","."),"-",",")</f>
        <v>624.525,00</v>
      </c>
      <c r="K1227" s="2"/>
    </row>
    <row r="1228" spans="1:11" ht="47.25" x14ac:dyDescent="0.25">
      <c r="A1228" s="1" t="str">
        <f>"475/2013"</f>
        <v>475/2013</v>
      </c>
      <c r="B1228" s="1" t="s">
        <v>14</v>
      </c>
      <c r="C1228" s="1" t="s">
        <v>2476</v>
      </c>
      <c r="D1228" s="1" t="str">
        <f>CONCATENATE("364-2013-EMV",CHAR(10),"2013/S 015-0076051 od 09.09.2013.")</f>
        <v>364-2013-EMV
2013/S 015-0076051 od 09.09.2013.</v>
      </c>
      <c r="E1228" s="1" t="s">
        <v>12</v>
      </c>
      <c r="F1228" s="1" t="str">
        <f>"119.467,50"</f>
        <v>119.467,50</v>
      </c>
      <c r="G1228" s="1" t="str">
        <f>CONCATENATE("16.10.2013.",CHAR(10),"tijekom 12 mjeseci")</f>
        <v>16.10.2013.
tijekom 12 mjeseci</v>
      </c>
      <c r="H1228" s="1" t="str">
        <f>CONCATENATE("HP-HRVATSKA POŠTA D.D., ZAGREB")</f>
        <v>HP-HRVATSKA POŠTA D.D., ZAGREB</v>
      </c>
      <c r="I1228" s="1" t="s">
        <v>38</v>
      </c>
      <c r="J1228" s="1" t="str">
        <f>SUBSTITUTE(SUBSTITUTE(SUBSTITUTE("142,068.02",".","-"),",","."),"-",",")</f>
        <v>142.068,02</v>
      </c>
      <c r="K1228" s="2"/>
    </row>
    <row r="1229" spans="1:11" ht="47.25" x14ac:dyDescent="0.25">
      <c r="A1229" s="1" t="str">
        <f>"476/2013"</f>
        <v>476/2013</v>
      </c>
      <c r="B1229" s="1" t="s">
        <v>14</v>
      </c>
      <c r="C1229" s="1" t="s">
        <v>1899</v>
      </c>
      <c r="D1229" s="1" t="str">
        <f>CONCATENATE("232-2013-EMV",CHAR(10),"2013/S 002-0070545 od 14.08.2013.")</f>
        <v>232-2013-EMV
2013/S 002-0070545 od 14.08.2013.</v>
      </c>
      <c r="E1229" s="1" t="s">
        <v>15</v>
      </c>
      <c r="F1229" s="1" t="str">
        <f>"278.950,00"</f>
        <v>278.950,00</v>
      </c>
      <c r="G1229" s="1" t="str">
        <f>CONCATENATE("16.10.2013.",CHAR(10),"12 mjeseci")</f>
        <v>16.10.2013.
12 mjeseci</v>
      </c>
      <c r="H1229" s="1" t="str">
        <f>CONCATENATE("COMBIS D.O.O., ZAGREB")</f>
        <v>COMBIS D.O.O., ZAGREB</v>
      </c>
      <c r="I1229" s="1" t="s">
        <v>432</v>
      </c>
      <c r="J1229" s="1" t="str">
        <f>SUBSTITUTE(SUBSTITUTE(SUBSTITUTE("348,687.50",".","-"),",","."),"-",",")</f>
        <v>348.687,50</v>
      </c>
      <c r="K1229" s="2"/>
    </row>
    <row r="1230" spans="1:11" ht="110.25" x14ac:dyDescent="0.25">
      <c r="A1230" s="1" t="str">
        <f>"A-89/2013"</f>
        <v>A-89/2013</v>
      </c>
      <c r="B1230" s="1" t="s">
        <v>11</v>
      </c>
      <c r="C1230" s="1" t="s">
        <v>2477</v>
      </c>
      <c r="D1230" s="1" t="str">
        <f>"455-2012-EMV"</f>
        <v>455-2012-EMV</v>
      </c>
      <c r="E1230" s="2"/>
      <c r="F1230" s="1" t="str">
        <f>"0,00"</f>
        <v>0,00</v>
      </c>
      <c r="G1230" s="1" t="str">
        <f>CONCATENATE("15.10.2013.",CHAR(10),"do 29. 10 2013.")</f>
        <v>15.10.2013.
do 29. 10 2013.</v>
      </c>
      <c r="H1230" s="1" t="str">
        <f>CONCATENATE("STUDIO A D.O.O., ZAGREB",CHAR(10),"ELEKTRO EKSPERT D.O.O., ZAGREB",CHAR(10),"S. M. INŽENJERING D.O.O., ZAGREB",CHAR(10),"TENZOR D.O.O., ZAGREB",CHAR(10),"INVESTINŽENJERING D.O.O, ZAGREB",CHAR(10),"INSPEKTING D.O.O., ZAGREB",CHAR(10),"PROSPECTUS D.O.O., ZAGREB")</f>
        <v>STUDIO A D.O.O., ZAGREB
ELEKTRO EKSPERT D.O.O., ZAGREB
S. M. INŽENJERING D.O.O., ZAGREB
TENZOR D.O.O., ZAGREB
INVESTINŽENJERING D.O.O, ZAGREB
INSPEKTING D.O.O., ZAGREB
PROSPECTUS D.O.O., ZAGREB</v>
      </c>
      <c r="I1230" s="2"/>
      <c r="J1230" s="1"/>
      <c r="K1230" s="2"/>
    </row>
    <row r="1231" spans="1:11" ht="47.25" x14ac:dyDescent="0.25">
      <c r="A1231" s="1" t="str">
        <f>"477/2013"</f>
        <v>477/2013</v>
      </c>
      <c r="B1231" s="1" t="s">
        <v>14</v>
      </c>
      <c r="C1231" s="1" t="s">
        <v>2478</v>
      </c>
      <c r="D1231" s="1" t="str">
        <f>CONCATENATE("361-2013-EMV",CHAR(10),"2013/S 002-0072483 od 26.08.2013.")</f>
        <v>361-2013-EMV
2013/S 002-0072483 od 26.08.2013.</v>
      </c>
      <c r="E1231" s="1" t="s">
        <v>15</v>
      </c>
      <c r="F1231" s="1" t="str">
        <f>"1.386.641,19"</f>
        <v>1.386.641,19</v>
      </c>
      <c r="G1231" s="1" t="str">
        <f>CONCATENATE("15.10.2013.",CHAR(10),"12 mjesci")</f>
        <v>15.10.2013.
12 mjesci</v>
      </c>
      <c r="H1231" s="1" t="str">
        <f>CONCATENATE("MARINO-LUČKO D.O.O., LUČKO")</f>
        <v>MARINO-LUČKO D.O.O., LUČKO</v>
      </c>
      <c r="I1231" s="1" t="s">
        <v>207</v>
      </c>
      <c r="J1231" s="1" t="str">
        <f>SUBSTITUTE(SUBSTITUTE(SUBSTITUTE("1,132,140.40",".","-"),",","."),"-",",")</f>
        <v>1.132.140,40</v>
      </c>
      <c r="K1231" s="2"/>
    </row>
    <row r="1232" spans="1:11" ht="47.25" x14ac:dyDescent="0.25">
      <c r="A1232" s="1" t="str">
        <f>"478/2013"</f>
        <v>478/2013</v>
      </c>
      <c r="B1232" s="1" t="s">
        <v>136</v>
      </c>
      <c r="C1232" s="1" t="s">
        <v>2479</v>
      </c>
      <c r="D1232" s="1" t="str">
        <f>"194-2013-EMV"</f>
        <v>194-2013-EMV</v>
      </c>
      <c r="E1232" s="1" t="s">
        <v>366</v>
      </c>
      <c r="F1232" s="1" t="str">
        <f>"498.440,00"</f>
        <v>498.440,00</v>
      </c>
      <c r="G1232" s="1" t="str">
        <f>CONCATENATE("15.10.2013.",CHAR(10),"2 godine")</f>
        <v>15.10.2013.
2 godine</v>
      </c>
      <c r="H1232" s="1" t="str">
        <f>CONCATENATE("ADEO D.O.O., OSIJEK")</f>
        <v>ADEO D.O.O., OSIJEK</v>
      </c>
      <c r="I1232" s="2"/>
      <c r="J1232" s="1"/>
      <c r="K1232" s="2"/>
    </row>
    <row r="1233" spans="1:11" ht="47.25" x14ac:dyDescent="0.25">
      <c r="A1233" s="1" t="str">
        <f>"479/2013"</f>
        <v>479/2013</v>
      </c>
      <c r="B1233" s="1" t="s">
        <v>14</v>
      </c>
      <c r="C1233" s="1" t="s">
        <v>2480</v>
      </c>
      <c r="D1233" s="1" t="str">
        <f>CONCATENATE("1427-2013-EMV",CHAR(10),"2013/S 002-0021842 od 11.03.2013.")</f>
        <v>1427-2013-EMV
2013/S 002-0021842 od 11.03.2013.</v>
      </c>
      <c r="E1233" s="1" t="s">
        <v>15</v>
      </c>
      <c r="F1233" s="1" t="str">
        <f>"3.340.157,77"</f>
        <v>3.340.157,77</v>
      </c>
      <c r="G1233" s="1" t="str">
        <f>CONCATENATE("17.10.2013.",CHAR(10),"180 dana")</f>
        <v>17.10.2013.
180 dana</v>
      </c>
      <c r="H1233" s="1" t="str">
        <f>CONCATENATE("HIDROSTRES D.O.O., ZAGREB",CHAR(10),"CARIN D.O.O., ZAGREB",CHAR(10),"GEOSIGNUM D.O.O., ZAGREB")</f>
        <v>HIDROSTRES D.O.O., ZAGREB
CARIN D.O.O., ZAGREB
GEOSIGNUM D.O.O., ZAGREB</v>
      </c>
      <c r="I1233" s="2"/>
      <c r="J1233" s="1"/>
      <c r="K1233" s="2"/>
    </row>
    <row r="1234" spans="1:11" ht="47.25" x14ac:dyDescent="0.25">
      <c r="A1234" s="1" t="str">
        <f>"480/2013"</f>
        <v>480/2013</v>
      </c>
      <c r="B1234" s="1" t="s">
        <v>14</v>
      </c>
      <c r="C1234" s="1" t="s">
        <v>2481</v>
      </c>
      <c r="D1234" s="1" t="str">
        <f>CONCATENATE("1315-2013-EMV",CHAR(10),"2013/S 002-0028800 od 28.03.2013.")</f>
        <v>1315-2013-EMV
2013/S 002-0028800 od 28.03.2013.</v>
      </c>
      <c r="E1234" s="1" t="s">
        <v>15</v>
      </c>
      <c r="F1234" s="1" t="str">
        <f>"292.350,50"</f>
        <v>292.350,50</v>
      </c>
      <c r="G1234" s="1" t="str">
        <f>CONCATENATE("17.10.2013.",CHAR(10),"90 dana")</f>
        <v>17.10.2013.
90 dana</v>
      </c>
      <c r="H1234" s="1" t="str">
        <f>CONCATENATE("MOSTPROJEKT D.O.O., ZAGREB")</f>
        <v>MOSTPROJEKT D.O.O., ZAGREB</v>
      </c>
      <c r="I1234" s="2"/>
      <c r="J1234" s="1"/>
      <c r="K1234" s="2"/>
    </row>
    <row r="1235" spans="1:11" ht="31.5" x14ac:dyDescent="0.25">
      <c r="A1235" s="1" t="str">
        <f>"481/2013"</f>
        <v>481/2013</v>
      </c>
      <c r="B1235" s="1" t="s">
        <v>26</v>
      </c>
      <c r="C1235" s="1" t="s">
        <v>2482</v>
      </c>
      <c r="D1235" s="1" t="str">
        <f>"129-2012-EVV"</f>
        <v>129-2012-EVV</v>
      </c>
      <c r="E1235" s="2"/>
      <c r="F1235" s="1" t="str">
        <f>"2.020.144,00"</f>
        <v>2.020.144,00</v>
      </c>
      <c r="G1235" s="1" t="str">
        <f>CONCATENATE("21.10.2013.",CHAR(10),"12 mjeseci")</f>
        <v>21.10.2013.
12 mjeseci</v>
      </c>
      <c r="H1235" s="1" t="str">
        <f>CONCATENATE("COMPING D.O.O., ZAGREB")</f>
        <v>COMPING D.O.O., ZAGREB</v>
      </c>
      <c r="I1235" s="1" t="s">
        <v>219</v>
      </c>
      <c r="J1235" s="1" t="str">
        <f>SUBSTITUTE(SUBSTITUTE(SUBSTITUTE("2,525,180.00",".","-"),",","."),"-",",")</f>
        <v>2.525.180,00</v>
      </c>
      <c r="K1235" s="2"/>
    </row>
    <row r="1236" spans="1:11" ht="47.25" x14ac:dyDescent="0.25">
      <c r="A1236" s="1" t="str">
        <f>"482/2013"</f>
        <v>482/2013</v>
      </c>
      <c r="B1236" s="1" t="s">
        <v>136</v>
      </c>
      <c r="C1236" s="1" t="s">
        <v>2483</v>
      </c>
      <c r="D1236" s="1" t="str">
        <f>CONCATENATE("194-2013-EMV",CHAR(10),"2013/S 002-0061767 od 09.07.2013.")</f>
        <v>194-2013-EMV
2013/S 002-0061767 od 09.07.2013.</v>
      </c>
      <c r="E1236" s="1" t="s">
        <v>366</v>
      </c>
      <c r="F1236" s="1" t="str">
        <f>"192.568,00"</f>
        <v>192.568,00</v>
      </c>
      <c r="G1236" s="1" t="str">
        <f>CONCATENATE("21.10.2013.",CHAR(10),"2 godine")</f>
        <v>21.10.2013.
2 godine</v>
      </c>
      <c r="H1236" s="1" t="str">
        <f>CONCATENATE("OTIS DIZALA D.O.O., ZAGREB")</f>
        <v>OTIS DIZALA D.O.O., ZAGREB</v>
      </c>
      <c r="I1236" s="2"/>
      <c r="J1236" s="1"/>
      <c r="K1236" s="2"/>
    </row>
    <row r="1237" spans="1:11" ht="63" x14ac:dyDescent="0.25">
      <c r="A1237" s="1" t="str">
        <f>"483/2013"</f>
        <v>483/2013</v>
      </c>
      <c r="B1237" s="1" t="s">
        <v>14</v>
      </c>
      <c r="C1237" s="1" t="s">
        <v>2484</v>
      </c>
      <c r="D1237" s="1" t="str">
        <f>CONCATENATE("553-2013-EVV",CHAR(10),"2013/S 002-0061095 od 08.07.2013.")</f>
        <v>553-2013-EVV
2013/S 002-0061095 od 08.07.2013.</v>
      </c>
      <c r="E1237" s="1" t="s">
        <v>15</v>
      </c>
      <c r="F1237" s="1" t="str">
        <f>"1.494.660,24"</f>
        <v>1.494.660,24</v>
      </c>
      <c r="G1237" s="1" t="str">
        <f>CONCATENATE("21.10.2013.",CHAR(10),"12 mjeseci")</f>
        <v>21.10.2013.
12 mjeseci</v>
      </c>
      <c r="H1237" s="1" t="str">
        <f>CONCATENATE("EKOTOURS D.O.O., ZAGREB")</f>
        <v>EKOTOURS D.O.O., ZAGREB</v>
      </c>
      <c r="I1237" s="1" t="s">
        <v>319</v>
      </c>
      <c r="J1237" s="1" t="str">
        <f>SUBSTITUTE(SUBSTITUTE(SUBSTITUTE("1,839,883.65",".","-"),",","."),"-",",")</f>
        <v>1.839.883,65</v>
      </c>
      <c r="K1237" s="2"/>
    </row>
    <row r="1238" spans="1:11" ht="47.25" x14ac:dyDescent="0.25">
      <c r="A1238" s="1" t="str">
        <f>"484/2013"</f>
        <v>484/2013</v>
      </c>
      <c r="B1238" s="1" t="s">
        <v>14</v>
      </c>
      <c r="C1238" s="1" t="s">
        <v>2485</v>
      </c>
      <c r="D1238" s="1" t="str">
        <f>CONCATENATE("1181-2013-EMV",CHAR(10),"2013/S 002-0035970 od 18.04.2013.")</f>
        <v>1181-2013-EMV
2013/S 002-0035970 od 18.04.2013.</v>
      </c>
      <c r="E1238" s="1" t="s">
        <v>15</v>
      </c>
      <c r="F1238" s="1" t="str">
        <f>"849.695,00"</f>
        <v>849.695,00</v>
      </c>
      <c r="G1238" s="1" t="str">
        <f>CONCATENATE("21.10.2013.",CHAR(10),"3 mjeseca")</f>
        <v>21.10.2013.
3 mjeseca</v>
      </c>
      <c r="H1238" s="1" t="str">
        <f>CONCATENATE("GRADITELJ SVRATIŠTA D.O.O., ZAGREB")</f>
        <v>GRADITELJ SVRATIŠTA D.O.O., ZAGREB</v>
      </c>
      <c r="I1238" s="1" t="s">
        <v>320</v>
      </c>
      <c r="J1238" s="1" t="str">
        <f>SUBSTITUTE(SUBSTITUTE(SUBSTITUTE("386,547.05",".","-"),",","."),"-",",")</f>
        <v>386.547,05</v>
      </c>
      <c r="K1238" s="2"/>
    </row>
    <row r="1239" spans="1:11" ht="63" x14ac:dyDescent="0.25">
      <c r="A1239" s="1" t="str">
        <f>"485/2013"</f>
        <v>485/2013</v>
      </c>
      <c r="B1239" s="1" t="s">
        <v>14</v>
      </c>
      <c r="C1239" s="1" t="s">
        <v>2486</v>
      </c>
      <c r="D1239" s="1" t="str">
        <f>CONCATENATE("553-2013-EVV",CHAR(10),"2013/S 002-0061095 od 08.07.2013.")</f>
        <v>553-2013-EVV
2013/S 002-0061095 od 08.07.2013.</v>
      </c>
      <c r="E1239" s="1" t="s">
        <v>15</v>
      </c>
      <c r="F1239" s="1" t="str">
        <f>"849.945,70"</f>
        <v>849.945,70</v>
      </c>
      <c r="G1239" s="1" t="str">
        <f>CONCATENATE("21.10.2013.",CHAR(10),"12 mjeseci")</f>
        <v>21.10.2013.
12 mjeseci</v>
      </c>
      <c r="H1239" s="1" t="str">
        <f>CONCATENATE("ADRIA GRUPA D.O.O., ZAGREB",CHAR(10),"CIJANIZACIJA D.O.O, ZAGREB")</f>
        <v>ADRIA GRUPA D.O.O., ZAGREB
CIJANIZACIJA D.O.O, ZAGREB</v>
      </c>
      <c r="I1239" s="1" t="s">
        <v>460</v>
      </c>
      <c r="J1239" s="1" t="str">
        <f>SUBSTITUTE(SUBSTITUTE(SUBSTITUTE("1,061,054.65",".","-"),",","."),"-",",")</f>
        <v>1.061.054,65</v>
      </c>
      <c r="K1239" s="2"/>
    </row>
    <row r="1240" spans="1:11" ht="63" x14ac:dyDescent="0.25">
      <c r="A1240" s="1" t="str">
        <f>"486/2013"</f>
        <v>486/2013</v>
      </c>
      <c r="B1240" s="1" t="s">
        <v>14</v>
      </c>
      <c r="C1240" s="1" t="s">
        <v>2487</v>
      </c>
      <c r="D1240" s="1" t="str">
        <f>CONCATENATE("553-2013-EVV",CHAR(10),"2013/S 002-0061095 od 08.07.2013.")</f>
        <v>553-2013-EVV
2013/S 002-0061095 od 08.07.2013.</v>
      </c>
      <c r="E1240" s="1" t="s">
        <v>15</v>
      </c>
      <c r="F1240" s="1" t="str">
        <f>"1.414.828,00"</f>
        <v>1.414.828,00</v>
      </c>
      <c r="G1240" s="1" t="str">
        <f>CONCATENATE("21.10.2013.",CHAR(10),"12 mjeseci")</f>
        <v>21.10.2013.
12 mjeseci</v>
      </c>
      <c r="H1240" s="1" t="str">
        <f>CONCATENATE("EKO-DERATIZACIJA D.O.O., ZAGREB")</f>
        <v>EKO-DERATIZACIJA D.O.O., ZAGREB</v>
      </c>
      <c r="I1240" s="1" t="s">
        <v>330</v>
      </c>
      <c r="J1240" s="1" t="str">
        <f>SUBSTITUTE(SUBSTITUTE(SUBSTITUTE("1,766,667.50",".","-"),",","."),"-",",")</f>
        <v>1.766.667,50</v>
      </c>
      <c r="K1240" s="2"/>
    </row>
    <row r="1241" spans="1:11" ht="63" x14ac:dyDescent="0.25">
      <c r="A1241" s="1" t="str">
        <f>"487/2013"</f>
        <v>487/2013</v>
      </c>
      <c r="B1241" s="1" t="s">
        <v>14</v>
      </c>
      <c r="C1241" s="1" t="s">
        <v>2488</v>
      </c>
      <c r="D1241" s="1" t="str">
        <f>CONCATENATE("553-2013-EVV",CHAR(10),"2013/S 002-0061095 od 08.07.2013.")</f>
        <v>553-2013-EVV
2013/S 002-0061095 od 08.07.2013.</v>
      </c>
      <c r="E1241" s="1" t="s">
        <v>15</v>
      </c>
      <c r="F1241" s="1" t="str">
        <f>"912.324,68"</f>
        <v>912.324,68</v>
      </c>
      <c r="G1241" s="1" t="str">
        <f>CONCATENATE("21.10.2013.",CHAR(10),"12 mjeseci")</f>
        <v>21.10.2013.
12 mjeseci</v>
      </c>
      <c r="H1241" s="1" t="str">
        <f>CONCATENATE("ID EKO D.O.O., ZAGREB")</f>
        <v>ID EKO D.O.O., ZAGREB</v>
      </c>
      <c r="I1241" s="1" t="s">
        <v>461</v>
      </c>
      <c r="J1241" s="1" t="str">
        <f>SUBSTITUTE(SUBSTITUTE(SUBSTITUTE("1,140,405.85",".","-"),",","."),"-",",")</f>
        <v>1.140.405,85</v>
      </c>
      <c r="K1241" s="2"/>
    </row>
    <row r="1242" spans="1:11" ht="63" x14ac:dyDescent="0.25">
      <c r="A1242" s="1" t="str">
        <f>"488/2013"</f>
        <v>488/2013</v>
      </c>
      <c r="B1242" s="1" t="s">
        <v>14</v>
      </c>
      <c r="C1242" s="1" t="s">
        <v>2489</v>
      </c>
      <c r="D1242" s="1" t="str">
        <f>CONCATENATE("553-2013-EVV",CHAR(10),"2012/S 002-0061095 od 08.07.2013.")</f>
        <v>553-2013-EVV
2012/S 002-0061095 od 08.07.2013.</v>
      </c>
      <c r="E1242" s="1" t="s">
        <v>15</v>
      </c>
      <c r="F1242" s="1" t="str">
        <f>"1.250.696,52"</f>
        <v>1.250.696,52</v>
      </c>
      <c r="G1242" s="1" t="str">
        <f>CONCATENATE("21.10.2013.",CHAR(10),"12 mjeseci")</f>
        <v>21.10.2013.
12 mjeseci</v>
      </c>
      <c r="H1242" s="1" t="str">
        <f>CONCATENATE("SANITACIJA D.D., ZAGREB")</f>
        <v>SANITACIJA D.D., ZAGREB</v>
      </c>
      <c r="I1242" s="1" t="s">
        <v>330</v>
      </c>
      <c r="J1242" s="1" t="str">
        <f>SUBSTITUTE(SUBSTITUTE(SUBSTITUTE("1,563,370.64",".","-"),",","."),"-",",")</f>
        <v>1.563.370,64</v>
      </c>
      <c r="K1242" s="2"/>
    </row>
    <row r="1243" spans="1:11" ht="47.25" x14ac:dyDescent="0.25">
      <c r="A1243" s="1" t="str">
        <f>"A-90/2013"</f>
        <v>A-90/2013</v>
      </c>
      <c r="B1243" s="1" t="s">
        <v>11</v>
      </c>
      <c r="C1243" s="1" t="s">
        <v>462</v>
      </c>
      <c r="D1243" s="1" t="str">
        <f>"1087-2012-EMV"</f>
        <v>1087-2012-EMV</v>
      </c>
      <c r="E1243" s="2"/>
      <c r="F1243" s="1" t="str">
        <f>"0,00"</f>
        <v>0,00</v>
      </c>
      <c r="G1243" s="1" t="str">
        <f>CONCATENATE("09.10.2013.",CHAR(10),"do 15.10.2013")</f>
        <v>09.10.2013.
do 15.10.2013</v>
      </c>
      <c r="H1243" s="1" t="str">
        <f>CONCATENATE("RANUS D.O.O., ZAGREB")</f>
        <v>RANUS D.O.O., ZAGREB</v>
      </c>
      <c r="I1243" s="2"/>
      <c r="J1243" s="1"/>
      <c r="K1243" s="2"/>
    </row>
    <row r="1244" spans="1:11" ht="47.25" x14ac:dyDescent="0.25">
      <c r="A1244" s="1" t="str">
        <f>"489/2013"</f>
        <v>489/2013</v>
      </c>
      <c r="B1244" s="1" t="s">
        <v>14</v>
      </c>
      <c r="C1244" s="1" t="s">
        <v>1690</v>
      </c>
      <c r="D1244" s="1" t="str">
        <f>CONCATENATE("366-2013-EMV",CHAR(10),"2013/S 002-0072773 od 27.08.2013.")</f>
        <v>366-2013-EMV
2013/S 002-0072773 od 27.08.2013.</v>
      </c>
      <c r="E1244" s="1" t="s">
        <v>15</v>
      </c>
      <c r="F1244" s="1" t="str">
        <f>"90.530,00"</f>
        <v>90.530,00</v>
      </c>
      <c r="G1244" s="1" t="str">
        <f>CONCATENATE("21.10.2013.",CHAR(10),"12 mjeseci")</f>
        <v>21.10.2013.
12 mjeseci</v>
      </c>
      <c r="H1244" s="1" t="str">
        <f>CONCATENATE("UREDSKI SISTEMI D.O.O., OBOROVO")</f>
        <v>UREDSKI SISTEMI D.O.O., OBOROVO</v>
      </c>
      <c r="I1244" s="1" t="s">
        <v>312</v>
      </c>
      <c r="J1244" s="1" t="str">
        <f>SUBSTITUTE(SUBSTITUTE(SUBSTITUTE("104,926.25",".","-"),",","."),"-",",")</f>
        <v>104.926,25</v>
      </c>
      <c r="K1244" s="2"/>
    </row>
    <row r="1245" spans="1:11" ht="94.5" x14ac:dyDescent="0.25">
      <c r="A1245" s="1" t="str">
        <f>"490/2013"</f>
        <v>490/2013</v>
      </c>
      <c r="B1245" s="1" t="s">
        <v>26</v>
      </c>
      <c r="C1245" s="1" t="s">
        <v>2490</v>
      </c>
      <c r="D1245" s="1" t="str">
        <f>"EV-814/2011"</f>
        <v>EV-814/2011</v>
      </c>
      <c r="E1245" s="2"/>
      <c r="F1245" s="1" t="str">
        <f>"321.049,33"</f>
        <v>321.049,33</v>
      </c>
      <c r="G1245" s="1" t="str">
        <f>CONCATENATE("21.10.2013.",CHAR(10),"tijekom 12 mjeseci")</f>
        <v>21.10.2013.
tijekom 12 mjeseci</v>
      </c>
      <c r="H1245" s="1" t="str">
        <f>CONCATENATE("ZAGREBAČKE PEKARNE KLARA D.D., ZAGREB")</f>
        <v>ZAGREBAČKE PEKARNE KLARA D.D., ZAGREB</v>
      </c>
      <c r="I1245" s="1" t="s">
        <v>463</v>
      </c>
      <c r="J1245" s="1" t="str">
        <f>CONCATENATE(SUBSTITUTE(SUBSTITUTE(SUBSTITUTE("425,206.07",".","-"),",","."),"-",","),CHAR(10),"Razlika isplaćenog iznosa je zbog povećanja stope PDV-a i povećanog broja upisane djece")</f>
        <v>425.206,07
Razlika isplaćenog iznosa je zbog povećanja stope PDV-a i povećanog broja upisane djece</v>
      </c>
      <c r="K1245" s="2"/>
    </row>
    <row r="1246" spans="1:11" ht="78.75" x14ac:dyDescent="0.25">
      <c r="A1246" s="1" t="str">
        <f>"491/2013"</f>
        <v>491/2013</v>
      </c>
      <c r="B1246" s="1" t="s">
        <v>26</v>
      </c>
      <c r="C1246" s="1" t="s">
        <v>2491</v>
      </c>
      <c r="D1246" s="1" t="str">
        <f>"EV-814/2011"</f>
        <v>EV-814/2011</v>
      </c>
      <c r="E1246" s="2"/>
      <c r="F1246" s="1" t="str">
        <f>"241.919,59"</f>
        <v>241.919,59</v>
      </c>
      <c r="G1246" s="1" t="str">
        <f>CONCATENATE("21.10.2013.",CHAR(10),"tijekom 12 mjeseci")</f>
        <v>21.10.2013.
tijekom 12 mjeseci</v>
      </c>
      <c r="H1246" s="1" t="str">
        <f>CONCATENATE("ZAGREBAČKE PEKARNE KLARA D.D., ZAGREB")</f>
        <v>ZAGREBAČKE PEKARNE KLARA D.D., ZAGREB</v>
      </c>
      <c r="I1246" s="1" t="s">
        <v>463</v>
      </c>
      <c r="J1246" s="1" t="str">
        <f>CONCATENATE(SUBSTITUTE(SUBSTITUTE(SUBSTITUTE("322,017.06",".","-"),",","."),"-",","),CHAR(10),"Razlika isplaćenog iznosa je zbog povećanja stope PDV-a i povećanog broja upisane djece")</f>
        <v>322.017,06
Razlika isplaćenog iznosa je zbog povećanja stope PDV-a i povećanog broja upisane djece</v>
      </c>
      <c r="K1246" s="2"/>
    </row>
    <row r="1247" spans="1:11" ht="78.75" x14ac:dyDescent="0.25">
      <c r="A1247" s="1" t="str">
        <f>"492/2013"</f>
        <v>492/2013</v>
      </c>
      <c r="B1247" s="1" t="s">
        <v>26</v>
      </c>
      <c r="C1247" s="1" t="s">
        <v>2492</v>
      </c>
      <c r="D1247" s="1" t="str">
        <f>"EV-814/2011"</f>
        <v>EV-814/2011</v>
      </c>
      <c r="E1247" s="2"/>
      <c r="F1247" s="1" t="str">
        <f>"413.001,67"</f>
        <v>413.001,67</v>
      </c>
      <c r="G1247" s="1" t="str">
        <f>CONCATENATE("21.10.2013.",CHAR(10),"tijekom 12 mjeseci")</f>
        <v>21.10.2013.
tijekom 12 mjeseci</v>
      </c>
      <c r="H1247" s="1" t="str">
        <f>CONCATENATE("ZAGREBAČKE PEKARNE KLARA D.D., ZAGREB")</f>
        <v>ZAGREBAČKE PEKARNE KLARA D.D., ZAGREB</v>
      </c>
      <c r="I1247" s="1" t="s">
        <v>463</v>
      </c>
      <c r="J1247" s="1" t="str">
        <f>CONCATENATE(SUBSTITUTE(SUBSTITUTE(SUBSTITUTE("504,970.61",".","-"),",","."),"-",","),CHAR(10),"Razlika isplaćenog iznosa je zbog povećanja stope PDV-a i povećanog broja upisane djece")</f>
        <v>504.970,61
Razlika isplaćenog iznosa je zbog povećanja stope PDV-a i povećanog broja upisane djece</v>
      </c>
      <c r="K1247" s="2"/>
    </row>
    <row r="1248" spans="1:11" ht="94.5" x14ac:dyDescent="0.25">
      <c r="A1248" s="1" t="str">
        <f>"493/2013"</f>
        <v>493/2013</v>
      </c>
      <c r="B1248" s="1" t="s">
        <v>26</v>
      </c>
      <c r="C1248" s="1" t="s">
        <v>2493</v>
      </c>
      <c r="D1248" s="1" t="str">
        <f>"EV-814/2011"</f>
        <v>EV-814/2011</v>
      </c>
      <c r="E1248" s="2"/>
      <c r="F1248" s="1" t="str">
        <f>"370.075,95"</f>
        <v>370.075,95</v>
      </c>
      <c r="G1248" s="1" t="str">
        <f>CONCATENATE("21.10.2013.",CHAR(10),"tijekom 12 mjeseci")</f>
        <v>21.10.2013.
tijekom 12 mjeseci</v>
      </c>
      <c r="H1248" s="1" t="str">
        <f>CONCATENATE("ZAGREBAČKE PEKARNE KLARA D.D., ZAGREB")</f>
        <v>ZAGREBAČKE PEKARNE KLARA D.D., ZAGREB</v>
      </c>
      <c r="I1248" s="1" t="s">
        <v>463</v>
      </c>
      <c r="J1248" s="1" t="str">
        <f>CONCATENATE(SUBSTITUTE(SUBSTITUTE(SUBSTITUTE("399,603.04",".","-"),",","."),"-",","),CHAR(10),"Razlika isplaćenog iznosa je zbog povećanja stope PDV-a i povećanog broja upisane djece")</f>
        <v>399.603,04
Razlika isplaćenog iznosa je zbog povećanja stope PDV-a i povećanog broja upisane djece</v>
      </c>
      <c r="K1248" s="2"/>
    </row>
    <row r="1249" spans="1:11" ht="47.25" x14ac:dyDescent="0.25">
      <c r="A1249" s="1" t="str">
        <f>"494/2013"</f>
        <v>494/2013</v>
      </c>
      <c r="B1249" s="1" t="s">
        <v>14</v>
      </c>
      <c r="C1249" s="1" t="s">
        <v>1766</v>
      </c>
      <c r="D1249" s="1" t="str">
        <f>CONCATENATE("367-2013-EMV",CHAR(10),"2013/S 002-0065604 od 24.07.2013.")</f>
        <v>367-2013-EMV
2013/S 002-0065604 od 24.07.2013.</v>
      </c>
      <c r="E1249" s="1" t="s">
        <v>15</v>
      </c>
      <c r="F1249" s="1" t="str">
        <f>"181.290,00"</f>
        <v>181.290,00</v>
      </c>
      <c r="G1249" s="1" t="str">
        <f>CONCATENATE("22.10.2013.",CHAR(10),"12 mjeseci")</f>
        <v>22.10.2013.
12 mjeseci</v>
      </c>
      <c r="H1249" s="1" t="str">
        <f>CONCATENATE("UGO ŠARIĆ D.O.O., ZAGREB")</f>
        <v>UGO ŠARIĆ D.O.O., ZAGREB</v>
      </c>
      <c r="I1249" s="1" t="s">
        <v>389</v>
      </c>
      <c r="J1249" s="1" t="str">
        <f>SUBSTITUTE(SUBSTITUTE(SUBSTITUTE("226,033.11",".","-"),",","."),"-",",")</f>
        <v>226.033,11</v>
      </c>
      <c r="K1249" s="2"/>
    </row>
    <row r="1250" spans="1:11" ht="47.25" x14ac:dyDescent="0.25">
      <c r="A1250" s="1" t="str">
        <f>"495/2013"</f>
        <v>495/2013</v>
      </c>
      <c r="B1250" s="1" t="s">
        <v>14</v>
      </c>
      <c r="C1250" s="1" t="s">
        <v>2494</v>
      </c>
      <c r="D1250" s="1" t="str">
        <f>CONCATENATE("2286-2013-EMV",CHAR(10),"2013/S 002-0069223 od 07.08.2013.")</f>
        <v>2286-2013-EMV
2013/S 002-0069223 od 07.08.2013.</v>
      </c>
      <c r="E1250" s="1" t="s">
        <v>15</v>
      </c>
      <c r="F1250" s="1" t="str">
        <f>"72.720,00"</f>
        <v>72.720,00</v>
      </c>
      <c r="G1250" s="1" t="str">
        <f>CONCATENATE("23.10.2013.",CHAR(10),"180 dana")</f>
        <v>23.10.2013.
180 dana</v>
      </c>
      <c r="H1250" s="1" t="str">
        <f>CONCATENATE("ANTERRA D.O.O., ZAGREB")</f>
        <v>ANTERRA D.O.O., ZAGREB</v>
      </c>
      <c r="I1250" s="2"/>
      <c r="J1250" s="1"/>
      <c r="K1250" s="2"/>
    </row>
    <row r="1251" spans="1:11" ht="47.25" x14ac:dyDescent="0.25">
      <c r="A1251" s="1" t="str">
        <f>"A-91/2013"</f>
        <v>A-91/2013</v>
      </c>
      <c r="B1251" s="1" t="s">
        <v>11</v>
      </c>
      <c r="C1251" s="1" t="s">
        <v>464</v>
      </c>
      <c r="D1251" s="1" t="str">
        <f>"494-2013-EMV"</f>
        <v>494-2013-EMV</v>
      </c>
      <c r="E1251" s="2"/>
      <c r="F1251" s="1" t="str">
        <f>"0,00"</f>
        <v>0,00</v>
      </c>
      <c r="G1251" s="1" t="str">
        <f>CONCATENATE("23.10.2013.",CHAR(10),"do 31.10.2013")</f>
        <v>23.10.2013.
do 31.10.2013</v>
      </c>
      <c r="H1251" s="1" t="str">
        <f>CONCATENATE("SLIV OPREMA D.O.O., ZAGREB")</f>
        <v>SLIV OPREMA D.O.O., ZAGREB</v>
      </c>
      <c r="I1251" s="2"/>
      <c r="J1251" s="1"/>
      <c r="K1251" s="2"/>
    </row>
    <row r="1252" spans="1:11" ht="63" x14ac:dyDescent="0.25">
      <c r="A1252" s="1" t="str">
        <f>"496/2013"</f>
        <v>496/2013</v>
      </c>
      <c r="B1252" s="1" t="s">
        <v>14</v>
      </c>
      <c r="C1252" s="1" t="s">
        <v>2495</v>
      </c>
      <c r="D1252" s="1" t="str">
        <f>CONCATENATE("754-2012-EMV",CHAR(10),"2013/S 002-0023621 od 24.05.2012.")</f>
        <v>754-2012-EMV
2013/S 002-0023621 od 24.05.2012.</v>
      </c>
      <c r="E1252" s="1" t="s">
        <v>15</v>
      </c>
      <c r="F1252" s="1" t="str">
        <f>"1.216.411,00"</f>
        <v>1.216.411,00</v>
      </c>
      <c r="G1252" s="1" t="str">
        <f>CONCATENATE("24.10.2013.",CHAR(10),"18 mjeseci")</f>
        <v>24.10.2013.
18 mjeseci</v>
      </c>
      <c r="H1252" s="1" t="str">
        <f>CONCATENATE("GRADNJAPROJEKT- ZAGREB D.O.O., ZAGREB",CHAR(10),"LJEVAONICA UMJETNINA ALU D.O.O., ZAGREB")</f>
        <v>GRADNJAPROJEKT- ZAGREB D.O.O., ZAGREB
LJEVAONICA UMJETNINA ALU D.O.O., ZAGREB</v>
      </c>
      <c r="I1252" s="2"/>
      <c r="J1252" s="1"/>
      <c r="K1252" s="2"/>
    </row>
    <row r="1253" spans="1:11" ht="47.25" x14ac:dyDescent="0.25">
      <c r="A1253" s="1" t="str">
        <f>"497/2013"</f>
        <v>497/2013</v>
      </c>
      <c r="B1253" s="1" t="s">
        <v>14</v>
      </c>
      <c r="C1253" s="1" t="s">
        <v>2496</v>
      </c>
      <c r="D1253" s="1" t="str">
        <f>CONCATENATE("2230-2013-EMV",CHAR(10),"2013/S 002-0061480 od 09.07.2013.")</f>
        <v>2230-2013-EMV
2013/S 002-0061480 od 09.07.2013.</v>
      </c>
      <c r="E1253" s="1" t="s">
        <v>15</v>
      </c>
      <c r="F1253" s="1" t="str">
        <f>"76.000,00"</f>
        <v>76.000,00</v>
      </c>
      <c r="G1253" s="1" t="str">
        <f>CONCATENATE("25.10.2013.",CHAR(10),"12 mjeseci")</f>
        <v>25.10.2013.
12 mjeseci</v>
      </c>
      <c r="H1253" s="1" t="str">
        <f>CONCATENATE("ARHINGTRADE D.O.O., ZAGREB",CHAR(10),"HVAT D.O.O., SAMOBOR")</f>
        <v>ARHINGTRADE D.O.O., ZAGREB
HVAT D.O.O., SAMOBOR</v>
      </c>
      <c r="I1253" s="2"/>
      <c r="J1253" s="1"/>
      <c r="K1253" s="2"/>
    </row>
    <row r="1254" spans="1:11" ht="78.75" x14ac:dyDescent="0.25">
      <c r="A1254" s="1" t="str">
        <f>"A-92/2013"</f>
        <v>A-92/2013</v>
      </c>
      <c r="B1254" s="1" t="s">
        <v>11</v>
      </c>
      <c r="C1254" s="1" t="s">
        <v>2497</v>
      </c>
      <c r="D1254" s="1" t="str">
        <f>"485-2012-EVV"</f>
        <v>485-2012-EVV</v>
      </c>
      <c r="E1254" s="2"/>
      <c r="F1254" s="1" t="str">
        <f>"0,00"</f>
        <v>0,00</v>
      </c>
      <c r="G1254" s="1" t="str">
        <f>"25.10.2013."</f>
        <v>25.10.2013.</v>
      </c>
      <c r="H1254" s="1" t="str">
        <f>CONCATENATE("LJEČILIŠTE TOPUSKO, TOPUSKO")</f>
        <v>LJEČILIŠTE TOPUSKO, TOPUSKO</v>
      </c>
      <c r="I1254" s="2"/>
      <c r="J1254" s="1"/>
      <c r="K1254" s="2"/>
    </row>
    <row r="1255" spans="1:11" ht="63" x14ac:dyDescent="0.25">
      <c r="A1255" s="1" t="str">
        <f>"A-93/2013"</f>
        <v>A-93/2013</v>
      </c>
      <c r="B1255" s="1" t="s">
        <v>11</v>
      </c>
      <c r="C1255" s="1" t="s">
        <v>2498</v>
      </c>
      <c r="D1255" s="1" t="str">
        <f>"762-2012-EMV"</f>
        <v>762-2012-EMV</v>
      </c>
      <c r="E1255" s="2"/>
      <c r="F1255" s="1" t="str">
        <f>"0,00"</f>
        <v>0,00</v>
      </c>
      <c r="G1255" s="1" t="str">
        <f>CONCATENATE("28.10.2013.",CHAR(10),"do 20. prosinca 2013.")</f>
        <v>28.10.2013.
do 20. prosinca 2013.</v>
      </c>
      <c r="H1255" s="1" t="str">
        <f>CONCATENATE("GRADNJAPROJEKT- ZAGREB D.O.O., ZAGREB",CHAR(10),"LJEVAONICA UMJETNINA ALU D.O.O., ZAGREB")</f>
        <v>GRADNJAPROJEKT- ZAGREB D.O.O., ZAGREB
LJEVAONICA UMJETNINA ALU D.O.O., ZAGREB</v>
      </c>
      <c r="I1255" s="2"/>
      <c r="J1255" s="1"/>
      <c r="K1255" s="2"/>
    </row>
    <row r="1256" spans="1:11" ht="47.25" x14ac:dyDescent="0.25">
      <c r="A1256" s="1" t="str">
        <f>"498/2013"</f>
        <v>498/2013</v>
      </c>
      <c r="B1256" s="1" t="s">
        <v>14</v>
      </c>
      <c r="C1256" s="1" t="s">
        <v>1988</v>
      </c>
      <c r="D1256" s="1" t="str">
        <f>CONCATENATE("3-2013-EMV",CHAR(10),"2013/S 002-0067679 od 31.07.2013.")</f>
        <v>3-2013-EMV
2013/S 002-0067679 od 31.07.2013.</v>
      </c>
      <c r="E1256" s="1" t="s">
        <v>15</v>
      </c>
      <c r="F1256" s="1" t="str">
        <f>"264.043,40"</f>
        <v>264.043,40</v>
      </c>
      <c r="G1256" s="1" t="str">
        <f>CONCATENATE("28.10.2013.",CHAR(10),"12 mjeseci")</f>
        <v>28.10.2013.
12 mjeseci</v>
      </c>
      <c r="H1256" s="1" t="str">
        <f>CONCATENATE("LOCUS PROJEKT D.O.O., ZAGREB-NOVI ZAGREB")</f>
        <v>LOCUS PROJEKT D.O.O., ZAGREB-NOVI ZAGREB</v>
      </c>
      <c r="I1256" s="2"/>
      <c r="J1256" s="1"/>
      <c r="K1256" s="2"/>
    </row>
    <row r="1257" spans="1:11" ht="47.25" x14ac:dyDescent="0.25">
      <c r="A1257" s="1" t="str">
        <f>"499/2013"</f>
        <v>499/2013</v>
      </c>
      <c r="B1257" s="1" t="s">
        <v>14</v>
      </c>
      <c r="C1257" s="1" t="s">
        <v>2499</v>
      </c>
      <c r="D1257" s="1" t="str">
        <f>CONCATENATE("1626-2013-EMV",CHAR(10),"2013/S 002-0063993 od 17.07.2013.")</f>
        <v>1626-2013-EMV
2013/S 002-0063993 od 17.07.2013.</v>
      </c>
      <c r="E1257" s="1" t="s">
        <v>15</v>
      </c>
      <c r="F1257" s="1" t="str">
        <f>"68.000,00"</f>
        <v>68.000,00</v>
      </c>
      <c r="G1257" s="1" t="str">
        <f>CONCATENATE("29.10.2013.",CHAR(10),"6 mjeseci")</f>
        <v>29.10.2013.
6 mjeseci</v>
      </c>
      <c r="H1257" s="1" t="str">
        <f>CONCATENATE("FLUID-PROJEKT D.O.O., ZAPREŠIĆ",CHAR(10),"ELEKTRO EKSPERT D.O.O., ZAGREB",CHAR(10),"ETER D.O.O., ZAGREB")</f>
        <v>FLUID-PROJEKT D.O.O., ZAPREŠIĆ
ELEKTRO EKSPERT D.O.O., ZAGREB
ETER D.O.O., ZAGREB</v>
      </c>
      <c r="I1257" s="1" t="s">
        <v>252</v>
      </c>
      <c r="J1257" s="1" t="str">
        <f>SUBSTITUTE(SUBSTITUTE(SUBSTITUTE("85,000.00",".","-"),",","."),"-",",")</f>
        <v>85.000,00</v>
      </c>
      <c r="K1257" s="2"/>
    </row>
    <row r="1258" spans="1:11" ht="31.5" x14ac:dyDescent="0.25">
      <c r="A1258" s="1" t="str">
        <f>"500/2013"</f>
        <v>500/2013</v>
      </c>
      <c r="B1258" s="1" t="s">
        <v>26</v>
      </c>
      <c r="C1258" s="1" t="s">
        <v>465</v>
      </c>
      <c r="D1258" s="1" t="str">
        <f>"19-2012-EVV"</f>
        <v>19-2012-EVV</v>
      </c>
      <c r="E1258" s="2"/>
      <c r="F1258" s="1" t="str">
        <f>"2.361.853,50"</f>
        <v>2.361.853,50</v>
      </c>
      <c r="G1258" s="1" t="str">
        <f>CONCATENATE("29.10.2013.",CHAR(10),"12 mjeseci")</f>
        <v>29.10.2013.
12 mjeseci</v>
      </c>
      <c r="H1258" s="1" t="str">
        <f>CONCATENATE("HEP - OPSKRBA D.O.O., ZAGREB")</f>
        <v>HEP - OPSKRBA D.O.O., ZAGREB</v>
      </c>
      <c r="I1258" s="2"/>
      <c r="J1258" s="1"/>
      <c r="K1258" s="2"/>
    </row>
    <row r="1259" spans="1:11" ht="47.25" x14ac:dyDescent="0.25">
      <c r="A1259" s="1" t="str">
        <f>"501/2013"</f>
        <v>501/2013</v>
      </c>
      <c r="B1259" s="1" t="s">
        <v>14</v>
      </c>
      <c r="C1259" s="1" t="s">
        <v>2500</v>
      </c>
      <c r="D1259" s="1" t="str">
        <f>CONCATENATE("1986-2013-EMV",CHAR(10),"2013/S 002-0048472 od 28.05.2013.")</f>
        <v>1986-2013-EMV
2013/S 002-0048472 od 28.05.2013.</v>
      </c>
      <c r="E1259" s="1" t="s">
        <v>15</v>
      </c>
      <c r="F1259" s="1" t="str">
        <f>"200.691,30"</f>
        <v>200.691,30</v>
      </c>
      <c r="G1259" s="1" t="str">
        <f>CONCATENATE("29.10.2013.",CHAR(10),"3 mjeseca")</f>
        <v>29.10.2013.
3 mjeseca</v>
      </c>
      <c r="H1259" s="1" t="str">
        <f>CONCATENATE("GEORAD D.O.O., ZAGREB")</f>
        <v>GEORAD D.O.O., ZAGREB</v>
      </c>
      <c r="I1259" s="1" t="s">
        <v>459</v>
      </c>
      <c r="J1259" s="1" t="str">
        <f>SUBSTITUTE(SUBSTITUTE(SUBSTITUTE("250,864.13",".","-"),",","."),"-",",")</f>
        <v>250.864,13</v>
      </c>
      <c r="K1259" s="2"/>
    </row>
    <row r="1260" spans="1:11" ht="47.25" x14ac:dyDescent="0.25">
      <c r="A1260" s="1" t="str">
        <f>"A-94/2013"</f>
        <v>A-94/2013</v>
      </c>
      <c r="B1260" s="1" t="s">
        <v>11</v>
      </c>
      <c r="C1260" s="1" t="s">
        <v>2501</v>
      </c>
      <c r="D1260" s="1" t="str">
        <f>"1273-2013-EMV"</f>
        <v>1273-2013-EMV</v>
      </c>
      <c r="E1260" s="2"/>
      <c r="F1260" s="1" t="str">
        <f>"0,00"</f>
        <v>0,00</v>
      </c>
      <c r="G1260" s="1" t="str">
        <f>"29.10.2013."</f>
        <v>29.10.2013.</v>
      </c>
      <c r="H1260" s="1" t="str">
        <f>CONCATENATE("PISMORAD D.D., ZAGREB")</f>
        <v>PISMORAD D.D., ZAGREB</v>
      </c>
      <c r="I1260" s="2"/>
      <c r="J1260" s="1"/>
      <c r="K1260" s="2"/>
    </row>
    <row r="1261" spans="1:11" ht="47.25" x14ac:dyDescent="0.25">
      <c r="A1261" s="1" t="str">
        <f>"502/2013"</f>
        <v>502/2013</v>
      </c>
      <c r="B1261" s="1" t="s">
        <v>14</v>
      </c>
      <c r="C1261" s="1" t="s">
        <v>1979</v>
      </c>
      <c r="D1261" s="1" t="str">
        <f>"2-2013-EMV"</f>
        <v>2-2013-EMV</v>
      </c>
      <c r="E1261" s="1" t="s">
        <v>40</v>
      </c>
      <c r="F1261" s="1" t="str">
        <f>"312.825,00"</f>
        <v>312.825,00</v>
      </c>
      <c r="G1261" s="1" t="str">
        <f>CONCATENATE("29.10.2013.",CHAR(10),"12 mjeseci")</f>
        <v>29.10.2013.
12 mjeseci</v>
      </c>
      <c r="H1261" s="1" t="str">
        <f>CONCATENATE("SPLENDID UGOSTITELJSTVO D.O.O., ZAGREB")</f>
        <v>SPLENDID UGOSTITELJSTVO D.O.O., ZAGREB</v>
      </c>
      <c r="I1261" s="2"/>
      <c r="J1261" s="1"/>
      <c r="K1261" s="2"/>
    </row>
    <row r="1262" spans="1:11" ht="47.25" x14ac:dyDescent="0.25">
      <c r="A1262" s="1" t="str">
        <f>"A-95/2013"</f>
        <v>A-95/2013</v>
      </c>
      <c r="B1262" s="1" t="s">
        <v>11</v>
      </c>
      <c r="C1262" s="1" t="s">
        <v>2502</v>
      </c>
      <c r="D1262" s="1" t="str">
        <f>"1260-2013-EMV"</f>
        <v>1260-2013-EMV</v>
      </c>
      <c r="E1262" s="2"/>
      <c r="F1262" s="1" t="str">
        <f>"0,00"</f>
        <v>0,00</v>
      </c>
      <c r="G1262" s="1" t="str">
        <f>CONCATENATE("30.10.2013.",CHAR(10),"do 29.11.2013.")</f>
        <v>30.10.2013.
do 29.11.2013.</v>
      </c>
      <c r="H1262" s="1" t="str">
        <f>CONCATENATE("M. SOLDO D.O.O., ZAGREB",CHAR(10),"GEOGIS D.O.O., ZAGREB",CHAR(10),"HEDOM D.O.O., ZAGREB")</f>
        <v>M. SOLDO D.O.O., ZAGREB
GEOGIS D.O.O., ZAGREB
HEDOM D.O.O., ZAGREB</v>
      </c>
      <c r="I1262" s="2"/>
      <c r="J1262" s="1"/>
      <c r="K1262" s="2"/>
    </row>
    <row r="1263" spans="1:11" ht="47.25" x14ac:dyDescent="0.25">
      <c r="A1263" s="1" t="str">
        <f>"A-96/2013"</f>
        <v>A-96/2013</v>
      </c>
      <c r="B1263" s="1" t="s">
        <v>11</v>
      </c>
      <c r="C1263" s="1" t="s">
        <v>2503</v>
      </c>
      <c r="D1263" s="1" t="str">
        <f>"489-2013-EMV"</f>
        <v>489-2013-EMV</v>
      </c>
      <c r="E1263" s="2"/>
      <c r="F1263" s="1" t="str">
        <f>"0,00"</f>
        <v>0,00</v>
      </c>
      <c r="G1263" s="1" t="str">
        <f>CONCATENATE("30.10.2013.",CHAR(10),"60 dana")</f>
        <v>30.10.2013.
60 dana</v>
      </c>
      <c r="H1263" s="1" t="str">
        <f>CONCATENATE("GREGIĆ PROMET D.O.O., ZAGREB")</f>
        <v>GREGIĆ PROMET D.O.O., ZAGREB</v>
      </c>
      <c r="I1263" s="2"/>
      <c r="J1263" s="1"/>
      <c r="K1263" s="2"/>
    </row>
    <row r="1264" spans="1:11" ht="47.25" x14ac:dyDescent="0.25">
      <c r="A1264" s="1" t="str">
        <f>"503/2013"</f>
        <v>503/2013</v>
      </c>
      <c r="B1264" s="1" t="s">
        <v>14</v>
      </c>
      <c r="C1264" s="1" t="s">
        <v>2504</v>
      </c>
      <c r="D1264" s="1" t="str">
        <f>CONCATENATE("1977-2013-EMV",CHAR(10),"2013/S 002-0068204 od 01.08.2013.")</f>
        <v>1977-2013-EMV
2013/S 002-0068204 od 01.08.2013.</v>
      </c>
      <c r="E1264" s="1" t="s">
        <v>15</v>
      </c>
      <c r="F1264" s="1" t="str">
        <f>"225.500,00"</f>
        <v>225.500,00</v>
      </c>
      <c r="G1264" s="1" t="str">
        <f>CONCATENATE("30.10.2013.",CHAR(10),"3 mjeseca")</f>
        <v>30.10.2013.
3 mjeseca</v>
      </c>
      <c r="H1264" s="1" t="str">
        <f>CONCATENATE("TILIA SPORT GRUPA D.O.O., VIŠKOVO")</f>
        <v>TILIA SPORT GRUPA D.O.O., VIŠKOVO</v>
      </c>
      <c r="I1264" s="1" t="s">
        <v>53</v>
      </c>
      <c r="J1264" s="1" t="str">
        <f>SUBSTITUTE(SUBSTITUTE(SUBSTITUTE("281,875.00",".","-"),",","."),"-",",")</f>
        <v>281.875,00</v>
      </c>
      <c r="K1264" s="2"/>
    </row>
    <row r="1265" spans="1:11" ht="47.25" x14ac:dyDescent="0.25">
      <c r="A1265" s="1" t="str">
        <f>"504/2013"</f>
        <v>504/2013</v>
      </c>
      <c r="B1265" s="1" t="s">
        <v>14</v>
      </c>
      <c r="C1265" s="1" t="s">
        <v>2505</v>
      </c>
      <c r="D1265" s="1" t="str">
        <f>CONCATENATE("2213-2013-EMV",CHAR(10),"2013/S 002-00057746 od 28.06.2013.")</f>
        <v>2213-2013-EMV
2013/S 002-00057746 od 28.06.2013.</v>
      </c>
      <c r="E1265" s="1" t="s">
        <v>15</v>
      </c>
      <c r="F1265" s="1" t="str">
        <f>"1.507.858,43"</f>
        <v>1.507.858,43</v>
      </c>
      <c r="G1265" s="1" t="str">
        <f>CONCATENATE("30.10.2013.",CHAR(10),"12 mjeseci")</f>
        <v>30.10.2013.
12 mjeseci</v>
      </c>
      <c r="H1265" s="1" t="str">
        <f>CONCATENATE("VODOPRIVREDA ZAGREB D.D., ZAGREB",CHAR(10),"KNEZ INVEST D.O.O., ZAGREB")</f>
        <v>VODOPRIVREDA ZAGREB D.D., ZAGREB
KNEZ INVEST D.O.O., ZAGREB</v>
      </c>
      <c r="I1265" s="1" t="s">
        <v>287</v>
      </c>
      <c r="J1265" s="1" t="str">
        <f>SUBSTITUTE(SUBSTITUTE(SUBSTITUTE("1,857,431.09",".","-"),",","."),"-",",")</f>
        <v>1.857.431,09</v>
      </c>
      <c r="K1265" s="2"/>
    </row>
    <row r="1266" spans="1:11" ht="47.25" x14ac:dyDescent="0.25">
      <c r="A1266" s="1" t="str">
        <f>"505/2013"</f>
        <v>505/2013</v>
      </c>
      <c r="B1266" s="1" t="s">
        <v>14</v>
      </c>
      <c r="C1266" s="1" t="s">
        <v>2506</v>
      </c>
      <c r="D1266" s="1" t="str">
        <f>CONCATENATE("8-2013-EMV",CHAR(10),"2013/S 002-0064611 od 19.07.2013.")</f>
        <v>8-2013-EMV
2013/S 002-0064611 od 19.07.2013.</v>
      </c>
      <c r="E1266" s="1" t="s">
        <v>15</v>
      </c>
      <c r="F1266" s="1" t="str">
        <f>"275.970,00"</f>
        <v>275.970,00</v>
      </c>
      <c r="G1266" s="1" t="str">
        <f>CONCATENATE("30.10.2013.",CHAR(10),"12 mjeseci")</f>
        <v>30.10.2013.
12 mjeseci</v>
      </c>
      <c r="H1266" s="1" t="str">
        <f>CONCATENATE("ZAGREBAČKI HOLDING D.O.O., PODRUŽNICA ZRINJEVAC, ZAGREB")</f>
        <v>ZAGREBAČKI HOLDING D.O.O., PODRUŽNICA ZRINJEVAC, ZAGREB</v>
      </c>
      <c r="I1266" s="2"/>
      <c r="J1266" s="1"/>
      <c r="K1266" s="2"/>
    </row>
    <row r="1267" spans="1:11" ht="78.75" x14ac:dyDescent="0.25">
      <c r="A1267" s="1" t="str">
        <f>"506/2013"</f>
        <v>506/2013</v>
      </c>
      <c r="B1267" s="1" t="s">
        <v>14</v>
      </c>
      <c r="C1267" s="1" t="s">
        <v>2507</v>
      </c>
      <c r="D1267" s="1" t="str">
        <f>CONCATENATE("1397-2013-EMV",CHAR(10),"2013/S 002-0071992 od 23.08.2013, isp. 2013/S 014-0076487 od 10.09.2013.")</f>
        <v>1397-2013-EMV
2013/S 002-0071992 od 23.08.2013, isp. 2013/S 014-0076487 od 10.09.2013.</v>
      </c>
      <c r="E1267" s="1" t="s">
        <v>15</v>
      </c>
      <c r="F1267" s="1" t="str">
        <f>"2.792.167,67"</f>
        <v>2.792.167,67</v>
      </c>
      <c r="G1267" s="1" t="str">
        <f>CONCATENATE("04.11.2013.",CHAR(10),"2 mjeseca")</f>
        <v>04.11.2013.
2 mjeseca</v>
      </c>
      <c r="H1267" s="1" t="str">
        <f>CONCATENATE("NERING D.O.O., SESVETE",CHAR(10),"MJERNIK LIMA D.O.O., ZAGREB",CHAR(10),"NEVING D.O.O., ZAGREB")</f>
        <v>NERING D.O.O., SESVETE
MJERNIK LIMA D.O.O., ZAGREB
NEVING D.O.O., ZAGREB</v>
      </c>
      <c r="I1267" s="2"/>
      <c r="J1267" s="1"/>
      <c r="K1267" s="2"/>
    </row>
    <row r="1268" spans="1:11" ht="78.75" x14ac:dyDescent="0.25">
      <c r="A1268" s="1" t="str">
        <f>"507/2013"</f>
        <v>507/2013</v>
      </c>
      <c r="B1268" s="1" t="s">
        <v>14</v>
      </c>
      <c r="C1268" s="1" t="s">
        <v>2508</v>
      </c>
      <c r="D1268" s="1" t="str">
        <f>CONCATENATE("1988-2013-EMV",CHAR(10),"2013/S 002-0066313 od 26.07.2013., isp. 2013/S 014-0070297 od 13.08.2013.")</f>
        <v>1988-2013-EMV
2013/S 002-0066313 od 26.07.2013., isp. 2013/S 014-0070297 od 13.08.2013.</v>
      </c>
      <c r="E1268" s="1" t="s">
        <v>15</v>
      </c>
      <c r="F1268" s="1" t="str">
        <f>"135.961,50"</f>
        <v>135.961,50</v>
      </c>
      <c r="G1268" s="1" t="str">
        <f>CONCATENATE("05.11.2013.",CHAR(10),"2 mjeseca")</f>
        <v>05.11.2013.
2 mjeseca</v>
      </c>
      <c r="H1268" s="1" t="str">
        <f>CONCATENATE("TITAN CONSTRUCTA D.O.O., ZAGREB")</f>
        <v>TITAN CONSTRUCTA D.O.O., ZAGREB</v>
      </c>
      <c r="I1268" s="1" t="s">
        <v>458</v>
      </c>
      <c r="J1268" s="1" t="str">
        <f>SUBSTITUTE(SUBSTITUTE(SUBSTITUTE("169,745.23",".","-"),",","."),"-",",")</f>
        <v>169.745,23</v>
      </c>
      <c r="K1268" s="2"/>
    </row>
    <row r="1269" spans="1:11" ht="47.25" x14ac:dyDescent="0.25">
      <c r="A1269" s="1" t="str">
        <f>"508/2013"</f>
        <v>508/2013</v>
      </c>
      <c r="B1269" s="1" t="s">
        <v>14</v>
      </c>
      <c r="C1269" s="1" t="s">
        <v>2509</v>
      </c>
      <c r="D1269" s="1" t="str">
        <f>CONCATENATE("508-2013-EMV",CHAR(10),"2013/S 002-0065242 od 23.07.2013.")</f>
        <v>508-2013-EMV
2013/S 002-0065242 od 23.07.2013.</v>
      </c>
      <c r="E1269" s="1" t="s">
        <v>15</v>
      </c>
      <c r="F1269" s="1" t="str">
        <f>"809.733,50"</f>
        <v>809.733,50</v>
      </c>
      <c r="G1269" s="1" t="str">
        <f>CONCATENATE("05.11.2013.",CHAR(10),"60 dana")</f>
        <v>05.11.2013.
60 dana</v>
      </c>
      <c r="H1269" s="1" t="str">
        <f>CONCATENATE("FERROSTIL MONT D.O.O., ZAGREB",CHAR(10),"IND-EKO D.O.O., RIJEKA")</f>
        <v>FERROSTIL MONT D.O.O., ZAGREB
IND-EKO D.O.O., RIJEKA</v>
      </c>
      <c r="I1269" s="1" t="s">
        <v>401</v>
      </c>
      <c r="J1269" s="1" t="str">
        <f>SUBSTITUTE(SUBSTITUTE(SUBSTITUTE("837,825.24",".","-"),",","."),"-",",")</f>
        <v>837.825,24</v>
      </c>
      <c r="K1269" s="2"/>
    </row>
    <row r="1270" spans="1:11" ht="47.25" x14ac:dyDescent="0.25">
      <c r="A1270" s="1" t="str">
        <f>"509/2013"</f>
        <v>509/2013</v>
      </c>
      <c r="B1270" s="1" t="s">
        <v>14</v>
      </c>
      <c r="C1270" s="1" t="s">
        <v>2510</v>
      </c>
      <c r="D1270" s="1" t="str">
        <f>CONCATENATE("1097-2013-EMV",CHAR(10),"2013/S 002-0061526 od 09.07.2013.")</f>
        <v>1097-2013-EMV
2013/S 002-0061526 od 09.07.2013.</v>
      </c>
      <c r="E1270" s="1" t="s">
        <v>15</v>
      </c>
      <c r="F1270" s="1" t="str">
        <f>"840.287,00"</f>
        <v>840.287,00</v>
      </c>
      <c r="G1270" s="1" t="str">
        <f>CONCATENATE("06.11.2013.",CHAR(10),"3 mjeseca")</f>
        <v>06.11.2013.
3 mjeseca</v>
      </c>
      <c r="H1270" s="1" t="str">
        <f>CONCATENATE("GRADIMONT D.O.O., ZAGREB")</f>
        <v>GRADIMONT D.O.O., ZAGREB</v>
      </c>
      <c r="I1270" s="1" t="s">
        <v>443</v>
      </c>
      <c r="J1270" s="1" t="str">
        <f>SUBSTITUTE(SUBSTITUTE(SUBSTITUTE("817,515.81",".","-"),",","."),"-",",")</f>
        <v>817.515,81</v>
      </c>
      <c r="K1270" s="2"/>
    </row>
    <row r="1271" spans="1:11" ht="47.25" x14ac:dyDescent="0.25">
      <c r="A1271" s="1" t="str">
        <f>"510/2013"</f>
        <v>510/2013</v>
      </c>
      <c r="B1271" s="1" t="s">
        <v>14</v>
      </c>
      <c r="C1271" s="1" t="s">
        <v>2511</v>
      </c>
      <c r="D1271" s="1" t="str">
        <f>CONCATENATE("181-2013-EMV",CHAR(10),"2013/S 002-0074123 od 02.09.2013.")</f>
        <v>181-2013-EMV
2013/S 002-0074123 od 02.09.2013.</v>
      </c>
      <c r="E1271" s="1" t="s">
        <v>15</v>
      </c>
      <c r="F1271" s="1" t="str">
        <f>"292.500,00"</f>
        <v>292.500,00</v>
      </c>
      <c r="G1271" s="1" t="str">
        <f>CONCATENATE("06.11.2013.",CHAR(10),"12 mjeseci")</f>
        <v>06.11.2013.
12 mjeseci</v>
      </c>
      <c r="H1271" s="1" t="str">
        <f>CONCATENATE("IDS SCHEER D.O.O., SPLIT",CHAR(10),"PROCESNA INTELIGENCIJA D.O.O., SPLIT")</f>
        <v>IDS SCHEER D.O.O., SPLIT
PROCESNA INTELIGENCIJA D.O.O., SPLIT</v>
      </c>
      <c r="I1271" s="1" t="s">
        <v>466</v>
      </c>
      <c r="J1271" s="1" t="str">
        <f>SUBSTITUTE(SUBSTITUTE(SUBSTITUTE("365,625.00",".","-"),",","."),"-",",")</f>
        <v>365.625,00</v>
      </c>
      <c r="K1271" s="2"/>
    </row>
    <row r="1272" spans="1:11" ht="63" x14ac:dyDescent="0.25">
      <c r="A1272" s="1" t="str">
        <f>"511/2013"</f>
        <v>511/2013</v>
      </c>
      <c r="B1272" s="1" t="s">
        <v>14</v>
      </c>
      <c r="C1272" s="1" t="s">
        <v>2512</v>
      </c>
      <c r="D1272" s="1" t="str">
        <f>CONCATENATE("242-2013-EMV",CHAR(10),"2013/S 002-0077815 od 16.09.2013.")</f>
        <v>242-2013-EMV
2013/S 002-0077815 od 16.09.2013.</v>
      </c>
      <c r="E1272" s="1" t="s">
        <v>15</v>
      </c>
      <c r="F1272" s="1" t="str">
        <f>"394.900,00"</f>
        <v>394.900,00</v>
      </c>
      <c r="G1272" s="1" t="str">
        <f>CONCATENATE("06.11.2013.",CHAR(10),"180 dana")</f>
        <v>06.11.2013.
180 dana</v>
      </c>
      <c r="H1272" s="1" t="str">
        <f>CONCATENATE("INFODOM D.O.O., ZAGREB")</f>
        <v>INFODOM D.O.O., ZAGREB</v>
      </c>
      <c r="I1272" s="1" t="s">
        <v>178</v>
      </c>
      <c r="J1272" s="1" t="str">
        <f>SUBSTITUTE(SUBSTITUTE(SUBSTITUTE("493,625.00",".","-"),",","."),"-",",")</f>
        <v>493.625,00</v>
      </c>
      <c r="K1272" s="2"/>
    </row>
    <row r="1273" spans="1:11" ht="47.25" x14ac:dyDescent="0.25">
      <c r="A1273" s="1" t="str">
        <f>"512/2013"</f>
        <v>512/2013</v>
      </c>
      <c r="B1273" s="1" t="s">
        <v>14</v>
      </c>
      <c r="C1273" s="1" t="s">
        <v>2513</v>
      </c>
      <c r="D1273" s="1" t="str">
        <f>CONCATENATE("1974-2013-EMV",CHAR(10),"2013/S 002-0066180 od 25.07.2013.")</f>
        <v>1974-2013-EMV
2013/S 002-0066180 od 25.07.2013.</v>
      </c>
      <c r="E1273" s="1" t="s">
        <v>15</v>
      </c>
      <c r="F1273" s="1" t="str">
        <f>"225.271,00"</f>
        <v>225.271,00</v>
      </c>
      <c r="G1273" s="1" t="str">
        <f>CONCATENATE("06.11.2013.",CHAR(10),"6 mjeseci")</f>
        <v>06.11.2013.
6 mjeseci</v>
      </c>
      <c r="H1273" s="1" t="str">
        <f>CONCATENATE("NERING D.O.O., SESVETE",CHAR(10),"MJERNIK LIMA D.O.O., ZAGREB")</f>
        <v>NERING D.O.O., SESVETE
MJERNIK LIMA D.O.O., ZAGREB</v>
      </c>
      <c r="I1273" s="1" t="s">
        <v>467</v>
      </c>
      <c r="J1273" s="1" t="str">
        <f>SUBSTITUTE(SUBSTITUTE(SUBSTITUTE("281,588.75",".","-"),",","."),"-",",")</f>
        <v>281.588,75</v>
      </c>
      <c r="K1273" s="2"/>
    </row>
    <row r="1274" spans="1:11" ht="47.25" x14ac:dyDescent="0.25">
      <c r="A1274" s="1" t="str">
        <f>"513/2013"</f>
        <v>513/2013</v>
      </c>
      <c r="B1274" s="1" t="s">
        <v>14</v>
      </c>
      <c r="C1274" s="1" t="s">
        <v>2514</v>
      </c>
      <c r="D1274" s="1" t="str">
        <f>CONCATENATE("1631-2013-EMV",CHAR(10),"2013/S 002-0064254 od 18.07.2013.")</f>
        <v>1631-2013-EMV
2013/S 002-0064254 od 18.07.2013.</v>
      </c>
      <c r="E1274" s="1" t="s">
        <v>15</v>
      </c>
      <c r="F1274" s="1" t="str">
        <f>"531.964,15"</f>
        <v>531.964,15</v>
      </c>
      <c r="G1274" s="1" t="str">
        <f>CONCATENATE("06.11.2013.",CHAR(10),"6 mjeseci")</f>
        <v>06.11.2013.
6 mjeseci</v>
      </c>
      <c r="H1274" s="1" t="str">
        <f>CONCATENATE("KING ICT D.O.O., ZAGREB",CHAR(10),"PAMETNA ENERGIJA D.O.O., ZAGREB")</f>
        <v>KING ICT D.O.O., ZAGREB
PAMETNA ENERGIJA D.O.O., ZAGREB</v>
      </c>
      <c r="I1274" s="1" t="s">
        <v>468</v>
      </c>
      <c r="J1274" s="1" t="str">
        <f>SUBSTITUTE(SUBSTITUTE(SUBSTITUTE("664,955.19",".","-"),",","."),"-",",")</f>
        <v>664.955,19</v>
      </c>
      <c r="K1274" s="2"/>
    </row>
    <row r="1275" spans="1:11" ht="47.25" x14ac:dyDescent="0.25">
      <c r="A1275" s="1" t="str">
        <f>"514/2013"</f>
        <v>514/2013</v>
      </c>
      <c r="B1275" s="1" t="s">
        <v>14</v>
      </c>
      <c r="C1275" s="1" t="s">
        <v>2515</v>
      </c>
      <c r="D1275" s="1" t="str">
        <f>CONCATENATE("1691-2013-EMV",CHAR(10),"2013/S 014-0045275 od 17.05.2013.")</f>
        <v>1691-2013-EMV
2013/S 014-0045275 od 17.05.2013.</v>
      </c>
      <c r="E1275" s="1" t="s">
        <v>15</v>
      </c>
      <c r="F1275" s="1" t="str">
        <f>"477.762,00"</f>
        <v>477.762,00</v>
      </c>
      <c r="G1275" s="1" t="str">
        <f>CONCATENATE("06.11.2013.",CHAR(10),"6 mjeseci")</f>
        <v>06.11.2013.
6 mjeseci</v>
      </c>
      <c r="H1275" s="1" t="str">
        <f>CONCATENATE("DELTRON D.O.O., SPLIT",CHAR(10),"ROTERM D.O.O., SPLIT")</f>
        <v>DELTRON D.O.O., SPLIT
ROTERM D.O.O., SPLIT</v>
      </c>
      <c r="I1275" s="1" t="s">
        <v>469</v>
      </c>
      <c r="J1275" s="1" t="str">
        <f>SUBSTITUTE(SUBSTITUTE(SUBSTITUTE("597,202.50",".","-"),",","."),"-",",")</f>
        <v>597.202,50</v>
      </c>
      <c r="K1275" s="2"/>
    </row>
    <row r="1276" spans="1:11" ht="47.25" x14ac:dyDescent="0.25">
      <c r="A1276" s="1" t="str">
        <f>"515/2013"</f>
        <v>515/2013</v>
      </c>
      <c r="B1276" s="1" t="s">
        <v>14</v>
      </c>
      <c r="C1276" s="1" t="s">
        <v>2516</v>
      </c>
      <c r="D1276" s="1" t="str">
        <f>CONCATENATE("2000-2013-EMV",CHAR(10),"2013/S 002-0068388 od 02.08.2013.")</f>
        <v>2000-2013-EMV
2013/S 002-0068388 od 02.08.2013.</v>
      </c>
      <c r="E1276" s="1" t="s">
        <v>15</v>
      </c>
      <c r="F1276" s="1" t="str">
        <f>"246.400,30"</f>
        <v>246.400,30</v>
      </c>
      <c r="G1276" s="1" t="str">
        <f>CONCATENATE("07.11.2013.",CHAR(10),"6 mjeseci")</f>
        <v>07.11.2013.
6 mjeseci</v>
      </c>
      <c r="H1276" s="1" t="str">
        <f>CONCATENATE("PRIGORAC-GRAĐENJE D.O.O., SESVETE",CHAR(10),"MGV D.O.O., ZAGREB")</f>
        <v>PRIGORAC-GRAĐENJE D.O.O., SESVETE
MGV D.O.O., ZAGREB</v>
      </c>
      <c r="I1276" s="1" t="s">
        <v>468</v>
      </c>
      <c r="J1276" s="1" t="str">
        <f>SUBSTITUTE(SUBSTITUTE(SUBSTITUTE("308,000.38",".","-"),",","."),"-",",")</f>
        <v>308.000,38</v>
      </c>
      <c r="K1276" s="2"/>
    </row>
    <row r="1277" spans="1:11" ht="47.25" x14ac:dyDescent="0.25">
      <c r="A1277" s="1" t="str">
        <f>"516/2013"</f>
        <v>516/2013</v>
      </c>
      <c r="B1277" s="1" t="s">
        <v>14</v>
      </c>
      <c r="C1277" s="1" t="s">
        <v>2517</v>
      </c>
      <c r="D1277" s="1" t="str">
        <f>CONCATENATE("2002-2013-EMV",CHAR(10),"2013/S 002-0065898 od 25.07.2013.")</f>
        <v>2002-2013-EMV
2013/S 002-0065898 od 25.07.2013.</v>
      </c>
      <c r="E1277" s="1" t="s">
        <v>15</v>
      </c>
      <c r="F1277" s="1" t="str">
        <f>"414.712,00"</f>
        <v>414.712,00</v>
      </c>
      <c r="G1277" s="1" t="str">
        <f>CONCATENATE("11.11.2013.",CHAR(10),"12 mjeseci")</f>
        <v>11.11.2013.
12 mjeseci</v>
      </c>
      <c r="H1277" s="1" t="str">
        <f>CONCATENATE("SPEKTAR GRADNJA D.O.O., ZAGREB",CHAR(10),"TRAFFICON D.O.O., ZAGREB")</f>
        <v>SPEKTAR GRADNJA D.O.O., ZAGREB
TRAFFICON D.O.O., ZAGREB</v>
      </c>
      <c r="I1277" s="1" t="s">
        <v>470</v>
      </c>
      <c r="J1277" s="1" t="str">
        <f>SUBSTITUTE(SUBSTITUTE(SUBSTITUTE("518,286.49",".","-"),",","."),"-",",")</f>
        <v>518.286,49</v>
      </c>
      <c r="K1277" s="2"/>
    </row>
    <row r="1278" spans="1:11" ht="47.25" x14ac:dyDescent="0.25">
      <c r="A1278" s="1" t="str">
        <f>"517/2013"</f>
        <v>517/2013</v>
      </c>
      <c r="B1278" s="1" t="s">
        <v>136</v>
      </c>
      <c r="C1278" s="1" t="s">
        <v>1883</v>
      </c>
      <c r="D1278" s="1" t="str">
        <f>CONCATENATE("237-2013-EVV",CHAR(10),"2013/S 002-0060352 od 05.07.2013.")</f>
        <v>237-2013-EVV
2013/S 002-0060352 od 05.07.2013.</v>
      </c>
      <c r="E1278" s="1" t="s">
        <v>366</v>
      </c>
      <c r="F1278" s="1" t="str">
        <f>"5.212.190,55"</f>
        <v>5.212.190,55</v>
      </c>
      <c r="G1278" s="1" t="str">
        <f>CONCATENATE("12.11.2013.",CHAR(10),"2 godine")</f>
        <v>12.11.2013.
2 godine</v>
      </c>
      <c r="H1278" s="1" t="str">
        <f>CONCATENATE("METRONET TELEKOMUNIKACIJE D.D., ZAGREB")</f>
        <v>METRONET TELEKOMUNIKACIJE D.D., ZAGREB</v>
      </c>
      <c r="I1278" s="2"/>
      <c r="J1278" s="1"/>
      <c r="K1278" s="2"/>
    </row>
    <row r="1279" spans="1:11" ht="31.5" x14ac:dyDescent="0.25">
      <c r="A1279" s="1" t="str">
        <f>"R-13/2013"</f>
        <v>R-13/2013</v>
      </c>
      <c r="B1279" s="1" t="s">
        <v>56</v>
      </c>
      <c r="C1279" s="1" t="s">
        <v>2518</v>
      </c>
      <c r="D1279" s="1" t="str">
        <f>"1524-2013-EMV"</f>
        <v>1524-2013-EMV</v>
      </c>
      <c r="E1279" s="2"/>
      <c r="F1279" s="1" t="str">
        <f>"0,00"</f>
        <v>0,00</v>
      </c>
      <c r="G1279" s="1" t="str">
        <f>"12.11.2013."</f>
        <v>12.11.2013.</v>
      </c>
      <c r="H1279" s="1" t="str">
        <f>CONCATENATE("CONTROL ENGINEERING D.O.O., RIJEKA")</f>
        <v>CONTROL ENGINEERING D.O.O., RIJEKA</v>
      </c>
      <c r="I1279" s="1" t="s">
        <v>25</v>
      </c>
      <c r="J1279" s="1" t="str">
        <f>SUBSTITUTE(SUBSTITUTE(SUBSTITUTE("21,000.00",".","-"),",","."),"-",",")</f>
        <v>21.000,00</v>
      </c>
      <c r="K1279" s="2"/>
    </row>
    <row r="1280" spans="1:11" ht="78.75" x14ac:dyDescent="0.25">
      <c r="A1280" s="1" t="str">
        <f>"A-97/2013"</f>
        <v>A-97/2013</v>
      </c>
      <c r="B1280" s="1" t="s">
        <v>11</v>
      </c>
      <c r="C1280" s="1" t="s">
        <v>2519</v>
      </c>
      <c r="D1280" s="1" t="str">
        <f>"1318-2013-EMV"</f>
        <v>1318-2013-EMV</v>
      </c>
      <c r="E1280" s="2"/>
      <c r="F1280" s="1" t="str">
        <f>"0,00"</f>
        <v>0,00</v>
      </c>
      <c r="G1280" s="1" t="str">
        <f>"12.11.2013."</f>
        <v>12.11.2013.</v>
      </c>
      <c r="H1280" s="1" t="str">
        <f>CONCATENATE("CAPITAL ING D.O.O., ZAGREB",CHAR(10),"MHM-PROJEKT D.O.O., ZAGREB",CHAR(10),"ELARH PROJEKT D.O.O., ZAGREB",CHAR(10),"FLAMIT D.O.O., SAMOBOR")</f>
        <v>CAPITAL ING D.O.O., ZAGREB
MHM-PROJEKT D.O.O., ZAGREB
ELARH PROJEKT D.O.O., ZAGREB
FLAMIT D.O.O., SAMOBOR</v>
      </c>
      <c r="I1280" s="2"/>
      <c r="J1280" s="1"/>
      <c r="K1280" s="2"/>
    </row>
    <row r="1281" spans="1:11" ht="47.25" x14ac:dyDescent="0.25">
      <c r="A1281" s="1" t="str">
        <f>"A-98/2013"</f>
        <v>A-98/2013</v>
      </c>
      <c r="B1281" s="1" t="s">
        <v>11</v>
      </c>
      <c r="C1281" s="1" t="s">
        <v>2520</v>
      </c>
      <c r="D1281" s="1" t="str">
        <f>"EV-146-012/2011"</f>
        <v>EV-146-012/2011</v>
      </c>
      <c r="E1281" s="2"/>
      <c r="F1281" s="1" t="str">
        <f>"0,00"</f>
        <v>0,00</v>
      </c>
      <c r="G1281" s="1" t="str">
        <f>CONCATENATE("12.11.2013.",CHAR(10),"do 31.12.2013")</f>
        <v>12.11.2013.
do 31.12.2013</v>
      </c>
      <c r="H1281" s="1" t="str">
        <f>CONCATENATE("GEORAD D.O.O., ZAGREB")</f>
        <v>GEORAD D.O.O., ZAGREB</v>
      </c>
      <c r="I1281" s="2"/>
      <c r="J1281" s="1"/>
      <c r="K1281" s="2"/>
    </row>
    <row r="1282" spans="1:11" ht="94.5" x14ac:dyDescent="0.25">
      <c r="A1282" s="1" t="str">
        <f>"518/2013"</f>
        <v>518/2013</v>
      </c>
      <c r="B1282" s="1" t="s">
        <v>14</v>
      </c>
      <c r="C1282" s="1" t="s">
        <v>2521</v>
      </c>
      <c r="D1282" s="1" t="str">
        <f>CONCATENATE("2272-2013-EMV",CHAR(10),"2013/S 002-0060761 od 08.07.2013.")</f>
        <v>2272-2013-EMV
2013/S 002-0060761 od 08.07.2013.</v>
      </c>
      <c r="E1282" s="1" t="s">
        <v>15</v>
      </c>
      <c r="F1282" s="1" t="str">
        <f>"10.593.990,00"</f>
        <v>10.593.990,00</v>
      </c>
      <c r="G1282" s="1" t="str">
        <f>CONCATENATE("07.11.2013.",CHAR(10),"5 mjeseci")</f>
        <v>07.11.2013.
5 mjeseci</v>
      </c>
      <c r="H1282" s="1" t="str">
        <f>CONCATENATE("STIPE LUCIĆ KAMENARSKI CENTAR I KLESARSTVO, OBRT ZA OBLIKOVANJE I UGRADNJU KAMENA, VL. BERNARD LUCIĆ, SAMOBOR",CHAR(10),"NISKOGRADNJA D.O.O., KARLOVAC",CHAR(10),"MGV D.O.O., ZAGREB")</f>
        <v>STIPE LUCIĆ KAMENARSKI CENTAR I KLESARSTVO, OBRT ZA OBLIKOVANJE I UGRADNJU KAMENA, VL. BERNARD LUCIĆ, SAMOBOR
NISKOGRADNJA D.O.O., KARLOVAC
MGV D.O.O., ZAGREB</v>
      </c>
      <c r="I1282" s="2"/>
      <c r="J1282" s="1"/>
      <c r="K1282" s="2"/>
    </row>
    <row r="1283" spans="1:11" ht="63" x14ac:dyDescent="0.25">
      <c r="A1283" s="1" t="str">
        <f>"A-99/2013"</f>
        <v>A-99/2013</v>
      </c>
      <c r="B1283" s="1" t="s">
        <v>11</v>
      </c>
      <c r="C1283" s="1" t="s">
        <v>2522</v>
      </c>
      <c r="D1283" s="1" t="str">
        <f>"917-2012-EMV"</f>
        <v>917-2012-EMV</v>
      </c>
      <c r="E1283" s="2"/>
      <c r="F1283" s="1" t="str">
        <f>"0,00"</f>
        <v>0,00</v>
      </c>
      <c r="G1283" s="1" t="str">
        <f>CONCATENATE("13.11.2013.",CHAR(10),"do 31.12.2013.")</f>
        <v>13.11.2013.
do 31.12.2013.</v>
      </c>
      <c r="H1283" s="1" t="str">
        <f>CONCATENATE("KONZALT ING D.O.O., ZAGREB")</f>
        <v>KONZALT ING D.O.O., ZAGREB</v>
      </c>
      <c r="I1283" s="2"/>
      <c r="J1283" s="1"/>
      <c r="K1283" s="2"/>
    </row>
    <row r="1284" spans="1:11" ht="47.25" x14ac:dyDescent="0.25">
      <c r="A1284" s="1" t="str">
        <f>"519/2013"</f>
        <v>519/2013</v>
      </c>
      <c r="B1284" s="1" t="s">
        <v>136</v>
      </c>
      <c r="C1284" s="1" t="s">
        <v>2523</v>
      </c>
      <c r="D1284" s="1" t="str">
        <f>CONCATENATE("238-2013-EVV",CHAR(10),"2013/S 002-0060430 od 05.07.2013.")</f>
        <v>238-2013-EVV
2013/S 002-0060430 od 05.07.2013.</v>
      </c>
      <c r="E1284" s="1" t="s">
        <v>366</v>
      </c>
      <c r="F1284" s="1" t="str">
        <f>"2.607.323,44"</f>
        <v>2.607.323,44</v>
      </c>
      <c r="G1284" s="1" t="str">
        <f>CONCATENATE("06.11.2013.",CHAR(10),"2 godine")</f>
        <v>06.11.2013.
2 godine</v>
      </c>
      <c r="H1284" s="1" t="str">
        <f>CONCATENATE("HRVATSKI TELEKOM D.D., ZAGREB")</f>
        <v>HRVATSKI TELEKOM D.D., ZAGREB</v>
      </c>
      <c r="I1284" s="2"/>
      <c r="J1284" s="1"/>
      <c r="K1284" s="2"/>
    </row>
    <row r="1285" spans="1:11" ht="47.25" x14ac:dyDescent="0.25">
      <c r="A1285" s="1" t="str">
        <f>"520/2013"</f>
        <v>520/2013</v>
      </c>
      <c r="B1285" s="1" t="s">
        <v>14</v>
      </c>
      <c r="C1285" s="1" t="s">
        <v>2524</v>
      </c>
      <c r="D1285" s="1" t="str">
        <f>CONCATENATE("1985-2013-EMV",CHAR(10),"2013/S 002-0064820 od 22.07.2013.")</f>
        <v>1985-2013-EMV
2013/S 002-0064820 od 22.07.2013.</v>
      </c>
      <c r="E1285" s="1" t="s">
        <v>15</v>
      </c>
      <c r="F1285" s="1" t="str">
        <f>"54.799,00"</f>
        <v>54.799,00</v>
      </c>
      <c r="G1285" s="1" t="str">
        <f>CONCATENATE("13.11.2013.",CHAR(10),"3 mjeseca")</f>
        <v>13.11.2013.
3 mjeseca</v>
      </c>
      <c r="H1285" s="1" t="str">
        <f>CONCATENATE("BONAC D.O.O, TURČIN")</f>
        <v>BONAC D.O.O, TURČIN</v>
      </c>
      <c r="I1285" s="1" t="s">
        <v>203</v>
      </c>
      <c r="J1285" s="1" t="str">
        <f>SUBSTITUTE(SUBSTITUTE(SUBSTITUTE("68,498.75",".","-"),",","."),"-",",")</f>
        <v>68.498,75</v>
      </c>
      <c r="K1285" s="2"/>
    </row>
    <row r="1286" spans="1:11" ht="47.25" x14ac:dyDescent="0.25">
      <c r="A1286" s="1" t="str">
        <f>"521/2013"</f>
        <v>521/2013</v>
      </c>
      <c r="B1286" s="1" t="s">
        <v>14</v>
      </c>
      <c r="C1286" s="1" t="s">
        <v>2525</v>
      </c>
      <c r="D1286" s="1" t="str">
        <f>CONCATENATE("1100-2013-EMV",CHAR(10),"2013/S 002-0023004 od 13.03.2013.")</f>
        <v>1100-2013-EMV
2013/S 002-0023004 od 13.03.2013.</v>
      </c>
      <c r="E1286" s="1" t="s">
        <v>15</v>
      </c>
      <c r="F1286" s="1" t="str">
        <f>"472.330,00"</f>
        <v>472.330,00</v>
      </c>
      <c r="G1286" s="1" t="str">
        <f>CONCATENATE("13.11.2013.",CHAR(10),"2 mjeseca")</f>
        <v>13.11.2013.
2 mjeseca</v>
      </c>
      <c r="H1286" s="1" t="str">
        <f>CONCATENATE("OPREMA RADMAN D.O.O., ZAGREB-SLOBOŠTINA")</f>
        <v>OPREMA RADMAN D.O.O., ZAGREB-SLOBOŠTINA</v>
      </c>
      <c r="I1286" s="1" t="s">
        <v>127</v>
      </c>
      <c r="J1286" s="1" t="str">
        <f>SUBSTITUTE(SUBSTITUTE(SUBSTITUTE("590,412.50",".","-"),",","."),"-",",")</f>
        <v>590.412,50</v>
      </c>
      <c r="K1286" s="2"/>
    </row>
    <row r="1287" spans="1:11" ht="47.25" x14ac:dyDescent="0.25">
      <c r="A1287" s="1" t="str">
        <f>"522/2013"</f>
        <v>522/2013</v>
      </c>
      <c r="B1287" s="1" t="s">
        <v>14</v>
      </c>
      <c r="C1287" s="1" t="s">
        <v>2526</v>
      </c>
      <c r="D1287" s="1" t="str">
        <f>CONCATENATE("1313-2013-EMV",CHAR(10),"2013/S 002-0069163 od 07.08.2013.")</f>
        <v>1313-2013-EMV
2013/S 002-0069163 od 07.08.2013.</v>
      </c>
      <c r="E1287" s="1" t="s">
        <v>15</v>
      </c>
      <c r="F1287" s="1" t="str">
        <f>"38.000,00"</f>
        <v>38.000,00</v>
      </c>
      <c r="G1287" s="1" t="str">
        <f>CONCATENATE("13.11.2013.",CHAR(10),"90 dana")</f>
        <v>13.11.2013.
90 dana</v>
      </c>
      <c r="H1287" s="1" t="str">
        <f>CONCATENATE("PROMETIS D.O.O., ZAGREB",CHAR(10),"GEODETSKI PROJEKTI I SUSTAVI D.O.O., ZAGREB")</f>
        <v>PROMETIS D.O.O., ZAGREB
GEODETSKI PROJEKTI I SUSTAVI D.O.O., ZAGREB</v>
      </c>
      <c r="I1287" s="1" t="s">
        <v>191</v>
      </c>
      <c r="J1287" s="1" t="str">
        <f>SUBSTITUTE(SUBSTITUTE(SUBSTITUTE("46,550.00",".","-"),",","."),"-",",")</f>
        <v>46.550,00</v>
      </c>
      <c r="K1287" s="2"/>
    </row>
    <row r="1288" spans="1:11" ht="47.25" x14ac:dyDescent="0.25">
      <c r="A1288" s="1" t="str">
        <f>"523/2013"</f>
        <v>523/2013</v>
      </c>
      <c r="B1288" s="1" t="s">
        <v>14</v>
      </c>
      <c r="C1288" s="1" t="s">
        <v>2527</v>
      </c>
      <c r="D1288" s="1" t="str">
        <f>CONCATENATE("2777-2013-EMV",CHAR(10),"2013/S 015-0089952 od 30.10.2013.")</f>
        <v>2777-2013-EMV
2013/S 015-0089952 od 30.10.2013.</v>
      </c>
      <c r="E1288" s="1" t="s">
        <v>12</v>
      </c>
      <c r="F1288" s="1" t="str">
        <f>"675.148,82"</f>
        <v>675.148,82</v>
      </c>
      <c r="G1288" s="1" t="str">
        <f>CONCATENATE("13.11.2013.",CHAR(10),"20 dana")</f>
        <v>13.11.2013.
20 dana</v>
      </c>
      <c r="H1288" s="1" t="str">
        <f>CONCATENATE("GIP PIONIR D.O.O., ZAGREB")</f>
        <v>GIP PIONIR D.O.O., ZAGREB</v>
      </c>
      <c r="I1288" s="1" t="s">
        <v>134</v>
      </c>
      <c r="J1288" s="1" t="str">
        <f>SUBSTITUTE(SUBSTITUTE(SUBSTITUTE("843,729.78",".","-"),",","."),"-",",")</f>
        <v>843.729,78</v>
      </c>
      <c r="K1288" s="2"/>
    </row>
    <row r="1289" spans="1:11" ht="47.25" x14ac:dyDescent="0.25">
      <c r="A1289" s="1" t="str">
        <f>"524/2013"</f>
        <v>524/2013</v>
      </c>
      <c r="B1289" s="1" t="s">
        <v>14</v>
      </c>
      <c r="C1289" s="1" t="s">
        <v>2528</v>
      </c>
      <c r="D1289" s="1" t="str">
        <f>CONCATENATE("2776-2013-EMV",CHAR(10),"2013/S 015-0089975 od 30.10.2013.")</f>
        <v>2776-2013-EMV
2013/S 015-0089975 od 30.10.2013.</v>
      </c>
      <c r="E1289" s="1" t="s">
        <v>12</v>
      </c>
      <c r="F1289" s="1" t="str">
        <f>"359.760,00"</f>
        <v>359.760,00</v>
      </c>
      <c r="G1289" s="1" t="str">
        <f>CONCATENATE("13.11.2013.",CHAR(10),"20 dana")</f>
        <v>13.11.2013.
20 dana</v>
      </c>
      <c r="H1289" s="1" t="str">
        <f>CONCATENATE("GIP PIONIR D.O.O., ZAGREB")</f>
        <v>GIP PIONIR D.O.O., ZAGREB</v>
      </c>
      <c r="I1289" s="1" t="s">
        <v>74</v>
      </c>
      <c r="J1289" s="1" t="str">
        <f>SUBSTITUTE(SUBSTITUTE(SUBSTITUTE("449,375.00",".","-"),",","."),"-",",")</f>
        <v>449.375,00</v>
      </c>
      <c r="K1289" s="2"/>
    </row>
    <row r="1290" spans="1:11" ht="47.25" x14ac:dyDescent="0.25">
      <c r="A1290" s="1" t="str">
        <f>"525/2013"</f>
        <v>525/2013</v>
      </c>
      <c r="B1290" s="1" t="s">
        <v>26</v>
      </c>
      <c r="C1290" s="1" t="s">
        <v>2529</v>
      </c>
      <c r="D1290" s="1" t="str">
        <f>"194-2013-EMV"</f>
        <v>194-2013-EMV</v>
      </c>
      <c r="E1290" s="2"/>
      <c r="F1290" s="1" t="str">
        <f>"96.284,00"</f>
        <v>96.284,00</v>
      </c>
      <c r="G1290" s="1" t="str">
        <f>CONCATENATE("15.11.2013.",CHAR(10),"1 godina")</f>
        <v>15.11.2013.
1 godina</v>
      </c>
      <c r="H1290" s="1" t="str">
        <f>CONCATENATE("OTIS DIZALA D.O.O., ZAGREB")</f>
        <v>OTIS DIZALA D.O.O., ZAGREB</v>
      </c>
      <c r="I1290" s="1" t="s">
        <v>461</v>
      </c>
      <c r="J1290" s="1" t="str">
        <f>SUBSTITUTE(SUBSTITUTE(SUBSTITUTE("120,354.44",".","-"),",","."),"-",",")</f>
        <v>120.354,44</v>
      </c>
      <c r="K1290" s="2"/>
    </row>
    <row r="1291" spans="1:11" ht="78.75" x14ac:dyDescent="0.25">
      <c r="A1291" s="1" t="str">
        <f>"526/2013"</f>
        <v>526/2013</v>
      </c>
      <c r="B1291" s="1" t="s">
        <v>136</v>
      </c>
      <c r="C1291" s="1" t="s">
        <v>2530</v>
      </c>
      <c r="D1291" s="1" t="str">
        <f>CONCATENATE("194-2013-EMV",CHAR(10),"2013/S 002-0061767 od 09.07.2013.")</f>
        <v>194-2013-EMV
2013/S 002-0061767 od 09.07.2013.</v>
      </c>
      <c r="E1291" s="1" t="s">
        <v>366</v>
      </c>
      <c r="F1291" s="1" t="str">
        <f>"271.784,00"</f>
        <v>271.784,00</v>
      </c>
      <c r="G1291" s="1" t="str">
        <f>CONCATENATE("15.11.2013.",CHAR(10),"2 godine")</f>
        <v>15.11.2013.
2 godine</v>
      </c>
      <c r="H1291" s="1" t="str">
        <f>CONCATENATE("STROJOOBNOVA OBRT ZA SERVISIRANJE, POPRAVAK I MONTAŽU POLJOPRIVREDNIH STROJEVA, VL. TIHOMOR LJUBIĆ, DONJA PUŠĆA")</f>
        <v>STROJOOBNOVA OBRT ZA SERVISIRANJE, POPRAVAK I MONTAŽU POLJOPRIVREDNIH STROJEVA, VL. TIHOMOR LJUBIĆ, DONJA PUŠĆA</v>
      </c>
      <c r="I1291" s="2"/>
      <c r="J1291" s="1"/>
      <c r="K1291" s="2"/>
    </row>
    <row r="1292" spans="1:11" ht="78.75" x14ac:dyDescent="0.25">
      <c r="A1292" s="1" t="str">
        <f>"527/2013"</f>
        <v>527/2013</v>
      </c>
      <c r="B1292" s="1" t="s">
        <v>26</v>
      </c>
      <c r="C1292" s="1" t="s">
        <v>2531</v>
      </c>
      <c r="D1292" s="1" t="str">
        <f>"378-2012-EVV-2"</f>
        <v>378-2012-EVV-2</v>
      </c>
      <c r="E1292" s="2"/>
      <c r="F1292" s="1" t="str">
        <f>"1.600.346,16"</f>
        <v>1.600.346,16</v>
      </c>
      <c r="G1292" s="1" t="str">
        <f>CONCATENATE("18.11.2013.",CHAR(10),"tijekom 12 mjeseci")</f>
        <v>18.11.2013.
tijekom 12 mjeseci</v>
      </c>
      <c r="H1292" s="1" t="str">
        <f>CONCATENATE("PIK VRBOVEC-MESNA INDUSTRIJA D.D., VRBOVEC")</f>
        <v>PIK VRBOVEC-MESNA INDUSTRIJA D.D., VRBOVEC</v>
      </c>
      <c r="I1292" s="1" t="s">
        <v>471</v>
      </c>
      <c r="J1292" s="1" t="str">
        <f>SUBSTITUTE(SUBSTITUTE(SUBSTITUTE("1,759,927.50",".","-"),",","."),"-",",")</f>
        <v>1.759.927,50</v>
      </c>
      <c r="K1292" s="2"/>
    </row>
    <row r="1293" spans="1:11" ht="78.75" x14ac:dyDescent="0.25">
      <c r="A1293" s="1" t="str">
        <f>"528/2013"</f>
        <v>528/2013</v>
      </c>
      <c r="B1293" s="1" t="s">
        <v>26</v>
      </c>
      <c r="C1293" s="1" t="s">
        <v>2532</v>
      </c>
      <c r="D1293" s="1" t="str">
        <f>"378-2012-EVV-2"</f>
        <v>378-2012-EVV-2</v>
      </c>
      <c r="E1293" s="2"/>
      <c r="F1293" s="1" t="str">
        <f>"1.599.138,31"</f>
        <v>1.599.138,31</v>
      </c>
      <c r="G1293" s="1" t="str">
        <f>CONCATENATE("18.11.2013.",CHAR(10),"tijekom 12 mjeseci")</f>
        <v>18.11.2013.
tijekom 12 mjeseci</v>
      </c>
      <c r="H1293" s="1" t="str">
        <f>CONCATENATE("PIK VRBOVEC-MESNA INDUSTRIJA D.D., VRBOVEC")</f>
        <v>PIK VRBOVEC-MESNA INDUSTRIJA D.D., VRBOVEC</v>
      </c>
      <c r="I1293" s="1" t="s">
        <v>471</v>
      </c>
      <c r="J1293" s="1" t="str">
        <f>SUBSTITUTE(SUBSTITUTE(SUBSTITUTE("1,518,503.41",".","-"),",","."),"-",",")</f>
        <v>1.518.503,41</v>
      </c>
      <c r="K1293" s="2"/>
    </row>
    <row r="1294" spans="1:11" ht="78.75" x14ac:dyDescent="0.25">
      <c r="A1294" s="1" t="str">
        <f>"529/2013"</f>
        <v>529/2013</v>
      </c>
      <c r="B1294" s="1" t="s">
        <v>26</v>
      </c>
      <c r="C1294" s="1" t="s">
        <v>2533</v>
      </c>
      <c r="D1294" s="1" t="str">
        <f>"378-2012-EVV-2"</f>
        <v>378-2012-EVV-2</v>
      </c>
      <c r="E1294" s="2"/>
      <c r="F1294" s="1" t="str">
        <f>"1.066.124,00"</f>
        <v>1.066.124,00</v>
      </c>
      <c r="G1294" s="1" t="str">
        <f>CONCATENATE("18.11.2013.",CHAR(10),"tijekom 12 mjeseci")</f>
        <v>18.11.2013.
tijekom 12 mjeseci</v>
      </c>
      <c r="H1294" s="1" t="str">
        <f>CONCATENATE("VUGRINEC D.O.O., DUBRAVICA")</f>
        <v>VUGRINEC D.O.O., DUBRAVICA</v>
      </c>
      <c r="I1294" s="1" t="s">
        <v>471</v>
      </c>
      <c r="J1294" s="1" t="str">
        <f>SUBSTITUTE(SUBSTITUTE(SUBSTITUTE("997,815.57",".","-"),",","."),"-",",")</f>
        <v>997.815,57</v>
      </c>
      <c r="K1294" s="2"/>
    </row>
    <row r="1295" spans="1:11" ht="63" x14ac:dyDescent="0.25">
      <c r="A1295" s="1" t="str">
        <f>"530/2013"</f>
        <v>530/2013</v>
      </c>
      <c r="B1295" s="1" t="s">
        <v>26</v>
      </c>
      <c r="C1295" s="1" t="s">
        <v>2534</v>
      </c>
      <c r="D1295" s="1" t="str">
        <f>"378-2012-EVV-2"</f>
        <v>378-2012-EVV-2</v>
      </c>
      <c r="E1295" s="2"/>
      <c r="F1295" s="1" t="str">
        <f>"1.081.361,35"</f>
        <v>1.081.361,35</v>
      </c>
      <c r="G1295" s="1" t="str">
        <f>CONCATENATE("18.11.2013.",CHAR(10),"tijekom 12 mjeseci")</f>
        <v>18.11.2013.
tijekom 12 mjeseci</v>
      </c>
      <c r="H1295" s="1" t="str">
        <f>CONCATENATE("PIK VRBOVEC-MESNA INDUSTRIJA D.D., VRBOVEC")</f>
        <v>PIK VRBOVEC-MESNA INDUSTRIJA D.D., VRBOVEC</v>
      </c>
      <c r="I1295" s="1" t="s">
        <v>471</v>
      </c>
      <c r="J1295" s="1" t="str">
        <f>SUBSTITUTE(SUBSTITUTE(SUBSTITUTE("1,199,479.23",".","-"),",","."),"-",",")</f>
        <v>1.199.479,23</v>
      </c>
      <c r="K1295" s="2"/>
    </row>
    <row r="1296" spans="1:11" ht="78.75" x14ac:dyDescent="0.25">
      <c r="A1296" s="1" t="str">
        <f>"531/2013"</f>
        <v>531/2013</v>
      </c>
      <c r="B1296" s="1" t="s">
        <v>26</v>
      </c>
      <c r="C1296" s="1" t="s">
        <v>2535</v>
      </c>
      <c r="D1296" s="1" t="str">
        <f>"378-2012-EVV-2"</f>
        <v>378-2012-EVV-2</v>
      </c>
      <c r="E1296" s="2"/>
      <c r="F1296" s="1" t="str">
        <f>"1.237.073,16"</f>
        <v>1.237.073,16</v>
      </c>
      <c r="G1296" s="1" t="str">
        <f>CONCATENATE("18.11.2013.",CHAR(10),"tijekom 12 mjeseci")</f>
        <v>18.11.2013.
tijekom 12 mjeseci</v>
      </c>
      <c r="H1296" s="1" t="str">
        <f>CONCATENATE("PIK VRBOVEC-MESNA INDUSTRIJA D.D., VRBOVEC")</f>
        <v>PIK VRBOVEC-MESNA INDUSTRIJA D.D., VRBOVEC</v>
      </c>
      <c r="I1296" s="1" t="s">
        <v>471</v>
      </c>
      <c r="J1296" s="1" t="str">
        <f>SUBSTITUTE(SUBSTITUTE(SUBSTITUTE("1,036,213.69",".","-"),",","."),"-",",")</f>
        <v>1.036.213,69</v>
      </c>
      <c r="K1296" s="2"/>
    </row>
    <row r="1297" spans="1:11" ht="47.25" x14ac:dyDescent="0.25">
      <c r="A1297" s="1" t="str">
        <f>"532/2013"</f>
        <v>532/2013</v>
      </c>
      <c r="B1297" s="1" t="s">
        <v>14</v>
      </c>
      <c r="C1297" s="1" t="s">
        <v>2536</v>
      </c>
      <c r="D1297" s="1" t="str">
        <f>CONCATENATE("1408-2013-EMV",CHAR(10),"2013/S 002-0064108 od 18.07.2013.")</f>
        <v>1408-2013-EMV
2013/S 002-0064108 od 18.07.2013.</v>
      </c>
      <c r="E1297" s="1" t="s">
        <v>15</v>
      </c>
      <c r="F1297" s="1" t="str">
        <f>"78.000,00"</f>
        <v>78.000,00</v>
      </c>
      <c r="G1297" s="1" t="str">
        <f>CONCATENATE("18.11.2013.",CHAR(10),"12 mjeseci")</f>
        <v>18.11.2013.
12 mjeseci</v>
      </c>
      <c r="H1297" s="1" t="str">
        <f>CONCATENATE("ARHINGTRADE D.O.O., ZAGREB",CHAR(10),"STATING D.O.O., ZAGREB",CHAR(10),"HVAT D.O.O., SAMOBOR")</f>
        <v>ARHINGTRADE D.O.O., ZAGREB
STATING D.O.O., ZAGREB
HVAT D.O.O., SAMOBOR</v>
      </c>
      <c r="I1297" s="2"/>
      <c r="J1297" s="1"/>
      <c r="K1297" s="2"/>
    </row>
    <row r="1298" spans="1:11" ht="63" x14ac:dyDescent="0.25">
      <c r="A1298" s="1" t="str">
        <f>"533/2013"</f>
        <v>533/2013</v>
      </c>
      <c r="B1298" s="1" t="s">
        <v>26</v>
      </c>
      <c r="C1298" s="1" t="s">
        <v>472</v>
      </c>
      <c r="D1298" s="1" t="str">
        <f>"194-2013-EMV"</f>
        <v>194-2013-EMV</v>
      </c>
      <c r="E1298" s="2"/>
      <c r="F1298" s="1" t="str">
        <f>"249.220,00"</f>
        <v>249.220,00</v>
      </c>
      <c r="G1298" s="1" t="str">
        <f>CONCATENATE("18.11.2013.",CHAR(10),"1 godina")</f>
        <v>18.11.2013.
1 godina</v>
      </c>
      <c r="H1298" s="1" t="str">
        <f>CONCATENATE("ADEO D.O.O., OSIJEK")</f>
        <v>ADEO D.O.O., OSIJEK</v>
      </c>
      <c r="I1298" s="1" t="s">
        <v>401</v>
      </c>
      <c r="J1298" s="1" t="str">
        <f>SUBSTITUTE(SUBSTITUTE(SUBSTITUTE("303,460.00",".","-"),",","."),"-",",")</f>
        <v>303.460,00</v>
      </c>
      <c r="K1298" s="2"/>
    </row>
    <row r="1299" spans="1:11" ht="47.25" x14ac:dyDescent="0.25">
      <c r="A1299" s="1" t="str">
        <f>"534/2013"</f>
        <v>534/2013</v>
      </c>
      <c r="B1299" s="1" t="s">
        <v>14</v>
      </c>
      <c r="C1299" s="1" t="s">
        <v>2537</v>
      </c>
      <c r="D1299" s="1" t="str">
        <f>CONCATENATE("1951-2013-EMV",CHAR(10),"2013/S 002-0054231 od 17.06.2013.")</f>
        <v>1951-2013-EMV
2013/S 002-0054231 od 17.06.2013.</v>
      </c>
      <c r="E1299" s="1" t="s">
        <v>15</v>
      </c>
      <c r="F1299" s="1" t="str">
        <f>"34.500,00"</f>
        <v>34.500,00</v>
      </c>
      <c r="G1299" s="1" t="str">
        <f>CONCATENATE("18.11.2013.",CHAR(10),"12 mjeseci")</f>
        <v>18.11.2013.
12 mjeseci</v>
      </c>
      <c r="H1299" s="1" t="str">
        <f>CONCATENATE("ARHINGTRADE D.O.O., ZAGREB",CHAR(10),"PRETIOSUS USLUGE D.O.O., SAMOBOR")</f>
        <v>ARHINGTRADE D.O.O., ZAGREB
PRETIOSUS USLUGE D.O.O., SAMOBOR</v>
      </c>
      <c r="I1299" s="2"/>
      <c r="J1299" s="1"/>
      <c r="K1299" s="2"/>
    </row>
    <row r="1300" spans="1:11" ht="47.25" x14ac:dyDescent="0.25">
      <c r="A1300" s="1" t="str">
        <f>"536/2013"</f>
        <v>536/2013</v>
      </c>
      <c r="B1300" s="1" t="s">
        <v>14</v>
      </c>
      <c r="C1300" s="1" t="s">
        <v>2538</v>
      </c>
      <c r="D1300" s="1" t="str">
        <f>CONCATENATE("1383-2013-EMV",CHAR(10),"2013/S 015-0084229 od 10.10.2013.")</f>
        <v>1383-2013-EMV
2013/S 015-0084229 od 10.10.2013.</v>
      </c>
      <c r="E1300" s="1" t="s">
        <v>12</v>
      </c>
      <c r="F1300" s="1" t="str">
        <f>"128.245,86"</f>
        <v>128.245,86</v>
      </c>
      <c r="G1300" s="1" t="str">
        <f>CONCATENATE("19.11.2013.",CHAR(10),"12 mjeseci")</f>
        <v>19.11.2013.
12 mjeseci</v>
      </c>
      <c r="H1300" s="1" t="str">
        <f>CONCATENATE("GRADSKA PLINARA ZAGREB D.O.O., ZAGREB")</f>
        <v>GRADSKA PLINARA ZAGREB D.O.O., ZAGREB</v>
      </c>
      <c r="I1300" s="2"/>
      <c r="J1300" s="1"/>
      <c r="K1300" s="2"/>
    </row>
    <row r="1301" spans="1:11" ht="47.25" x14ac:dyDescent="0.25">
      <c r="A1301" s="1" t="str">
        <f>"537/2013"</f>
        <v>537/2013</v>
      </c>
      <c r="B1301" s="1" t="s">
        <v>136</v>
      </c>
      <c r="C1301" s="1" t="s">
        <v>2539</v>
      </c>
      <c r="D1301" s="1" t="str">
        <f>CONCATENATE("196-2013-EMV",CHAR(10),"2013/S 002-0059728 od 04.07.2013.")</f>
        <v>196-2013-EMV
2013/S 002-0059728 od 04.07.2013.</v>
      </c>
      <c r="E1301" s="1" t="s">
        <v>366</v>
      </c>
      <c r="F1301" s="1" t="str">
        <f>"146.114,00"</f>
        <v>146.114,00</v>
      </c>
      <c r="G1301" s="1" t="str">
        <f>CONCATENATE("19.11.2013.",CHAR(10),"2 godine")</f>
        <v>19.11.2013.
2 godine</v>
      </c>
      <c r="H1301" s="1" t="str">
        <f>CONCATENATE("OBRT ZA PROIZVODNJU I POSTAVLJANJE ROLETA RO-LO, ZAGREB")</f>
        <v>OBRT ZA PROIZVODNJU I POSTAVLJANJE ROLETA RO-LO, ZAGREB</v>
      </c>
      <c r="I1301" s="2"/>
      <c r="J1301" s="1"/>
      <c r="K1301" s="2"/>
    </row>
    <row r="1302" spans="1:11" ht="47.25" x14ac:dyDescent="0.25">
      <c r="A1302" s="1" t="str">
        <f>"A-100/2013"</f>
        <v>A-100/2013</v>
      </c>
      <c r="B1302" s="1" t="s">
        <v>11</v>
      </c>
      <c r="C1302" s="1" t="s">
        <v>2540</v>
      </c>
      <c r="D1302" s="1" t="str">
        <f>"EM-430-012/2011"</f>
        <v>EM-430-012/2011</v>
      </c>
      <c r="E1302" s="2"/>
      <c r="F1302" s="1" t="str">
        <f>"0,00"</f>
        <v>0,00</v>
      </c>
      <c r="G1302" s="1" t="str">
        <f>CONCATENATE("19.11.2013.",CHAR(10),"31. prosinca 2013")</f>
        <v>19.11.2013.
31. prosinca 2013</v>
      </c>
      <c r="H1302" s="1" t="str">
        <f>CONCATENATE("NERING PROJEKT D.O.O., ZAGREB")</f>
        <v>NERING PROJEKT D.O.O., ZAGREB</v>
      </c>
      <c r="I1302" s="2"/>
      <c r="J1302" s="1"/>
      <c r="K1302" s="2"/>
    </row>
    <row r="1303" spans="1:11" ht="47.25" x14ac:dyDescent="0.25">
      <c r="A1303" s="1" t="str">
        <f>"541/2013"</f>
        <v>541/2013</v>
      </c>
      <c r="B1303" s="1" t="s">
        <v>14</v>
      </c>
      <c r="C1303" s="1" t="s">
        <v>2541</v>
      </c>
      <c r="D1303" s="1" t="str">
        <f>CONCATENATE("1314-2013-EMV",CHAR(10),"2013/S 002-0068354 od 02.08.2013.")</f>
        <v>1314-2013-EMV
2013/S 002-0068354 od 02.08.2013.</v>
      </c>
      <c r="E1303" s="1" t="s">
        <v>15</v>
      </c>
      <c r="F1303" s="1" t="str">
        <f>"35.000,00"</f>
        <v>35.000,00</v>
      </c>
      <c r="G1303" s="1" t="str">
        <f>CONCATENATE("22.11.2013.",CHAR(10),"90 dana")</f>
        <v>22.11.2013.
90 dana</v>
      </c>
      <c r="H1303" s="1" t="str">
        <f>CONCATENATE("PROMETIS D.O.O., ZAGREB",CHAR(10),"GEODETSKI PROJEKTI I SUSTAVI D.O.O., ZAGREB")</f>
        <v>PROMETIS D.O.O., ZAGREB
GEODETSKI PROJEKTI I SUSTAVI D.O.O., ZAGREB</v>
      </c>
      <c r="I1303" s="2"/>
      <c r="J1303" s="1"/>
      <c r="K1303" s="2"/>
    </row>
    <row r="1304" spans="1:11" ht="78.75" x14ac:dyDescent="0.25">
      <c r="A1304" s="1" t="str">
        <f>"542/2013"</f>
        <v>542/2013</v>
      </c>
      <c r="B1304" s="1" t="s">
        <v>14</v>
      </c>
      <c r="C1304" s="1" t="s">
        <v>2542</v>
      </c>
      <c r="D1304" s="1" t="str">
        <f>CONCATENATE("2049-2013-EMV",CHAR(10),"2013/S 002-0074079 od 02.09.2013.")</f>
        <v>2049-2013-EMV
2013/S 002-0074079 od 02.09.2013.</v>
      </c>
      <c r="E1304" s="1" t="s">
        <v>15</v>
      </c>
      <c r="F1304" s="1" t="str">
        <f>"138.000,00"</f>
        <v>138.000,00</v>
      </c>
      <c r="G1304" s="1" t="str">
        <f>CONCATENATE("22.11.2013.",CHAR(10),"120 dana")</f>
        <v>22.11.2013.
120 dana</v>
      </c>
      <c r="H1304" s="1" t="str">
        <f>CONCATENATE("SVEUČILIŠTE U ZAGREBU AGRONOMSKI FAKULTET, ZAGREB")</f>
        <v>SVEUČILIŠTE U ZAGREBU AGRONOMSKI FAKULTET, ZAGREB</v>
      </c>
      <c r="I1304" s="1" t="s">
        <v>377</v>
      </c>
      <c r="J1304" s="1" t="str">
        <f>SUBSTITUTE(SUBSTITUTE(SUBSTITUTE("172,500.00",".","-"),",","."),"-",",")</f>
        <v>172.500,00</v>
      </c>
      <c r="K1304" s="2"/>
    </row>
    <row r="1305" spans="1:11" ht="63" x14ac:dyDescent="0.25">
      <c r="A1305" s="1" t="str">
        <f>"A-101/2013"</f>
        <v>A-101/2013</v>
      </c>
      <c r="B1305" s="1" t="s">
        <v>11</v>
      </c>
      <c r="C1305" s="1" t="s">
        <v>2543</v>
      </c>
      <c r="D1305" s="1" t="str">
        <f>"504-2013-EMV"</f>
        <v>504-2013-EMV</v>
      </c>
      <c r="E1305" s="2"/>
      <c r="F1305" s="1" t="str">
        <f>"0,00"</f>
        <v>0,00</v>
      </c>
      <c r="G1305" s="1" t="str">
        <f>CONCATENATE("22.11.2013.",CHAR(10),"80 dana")</f>
        <v>22.11.2013.
80 dana</v>
      </c>
      <c r="H1305" s="1" t="str">
        <f>CONCATENATE("GRADITELJSTVO I TRGOVINA PERIĆ. D.O.O., ZAGREB",CHAR(10),"IND-EKO D.O.O., RIJEKA",CHAR(10),"BRAUCO D.O.O., ZAGREB")</f>
        <v>GRADITELJSTVO I TRGOVINA PERIĆ. D.O.O., ZAGREB
IND-EKO D.O.O., RIJEKA
BRAUCO D.O.O., ZAGREB</v>
      </c>
      <c r="I1305" s="2"/>
      <c r="J1305" s="1"/>
      <c r="K1305" s="2"/>
    </row>
    <row r="1306" spans="1:11" ht="63" x14ac:dyDescent="0.25">
      <c r="A1306" s="1" t="str">
        <f>"A-102/2013"</f>
        <v>A-102/2013</v>
      </c>
      <c r="B1306" s="1" t="s">
        <v>11</v>
      </c>
      <c r="C1306" s="1" t="s">
        <v>2544</v>
      </c>
      <c r="D1306" s="1" t="str">
        <f>"746-2012-EMV"</f>
        <v>746-2012-EMV</v>
      </c>
      <c r="E1306" s="2"/>
      <c r="F1306" s="1" t="str">
        <f>"0,00"</f>
        <v>0,00</v>
      </c>
      <c r="G1306" s="1" t="str">
        <f>CONCATENATE("22.11.2013.",CHAR(10),"do 15.05.2014.")</f>
        <v>22.11.2013.
do 15.05.2014.</v>
      </c>
      <c r="H1306" s="1" t="str">
        <f>CONCATENATE("GRADNJAPROJEKT- ZAGREB D.O.O., ZAGREB",CHAR(10),"LJEVAONICA UMJETNINA ALU D.O.O., ZAGREB")</f>
        <v>GRADNJAPROJEKT- ZAGREB D.O.O., ZAGREB
LJEVAONICA UMJETNINA ALU D.O.O., ZAGREB</v>
      </c>
      <c r="I1306" s="2"/>
      <c r="J1306" s="1"/>
      <c r="K1306" s="2"/>
    </row>
    <row r="1307" spans="1:11" ht="63" x14ac:dyDescent="0.25">
      <c r="A1307" s="1" t="str">
        <f>"A-103/2013"</f>
        <v>A-103/2013</v>
      </c>
      <c r="B1307" s="1" t="s">
        <v>11</v>
      </c>
      <c r="C1307" s="1" t="s">
        <v>2545</v>
      </c>
      <c r="D1307" s="1" t="str">
        <f>"EV-28-012/2011"</f>
        <v>EV-28-012/2011</v>
      </c>
      <c r="E1307" s="2"/>
      <c r="F1307" s="1" t="str">
        <f>"0,00"</f>
        <v>0,00</v>
      </c>
      <c r="G1307" s="1" t="str">
        <f>CONCATENATE("22.11.2013.",CHAR(10),"do 20.05.2014.")</f>
        <v>22.11.2013.
do 20.05.2014.</v>
      </c>
      <c r="H1307" s="1" t="str">
        <f>CONCATENATE("GRADNJAPROJEKT- ZAGREB D.O.O., ZAGREB")</f>
        <v>GRADNJAPROJEKT- ZAGREB D.O.O., ZAGREB</v>
      </c>
      <c r="I1307" s="2"/>
      <c r="J1307" s="1"/>
      <c r="K1307" s="2"/>
    </row>
    <row r="1308" spans="1:11" ht="78.75" x14ac:dyDescent="0.25">
      <c r="A1308" s="1" t="str">
        <f>"543/2013"</f>
        <v>543/2013</v>
      </c>
      <c r="B1308" s="1" t="s">
        <v>14</v>
      </c>
      <c r="C1308" s="1" t="s">
        <v>2546</v>
      </c>
      <c r="D1308" s="1" t="str">
        <f>CONCATENATE("2397-2013-EMV",CHAR(10),"2013/S 015-0093101 od 12.11.2013.")</f>
        <v>2397-2013-EMV
2013/S 015-0093101 od 12.11.2013.</v>
      </c>
      <c r="E1308" s="1" t="s">
        <v>12</v>
      </c>
      <c r="F1308" s="1" t="str">
        <f>"396.539,65"</f>
        <v>396.539,65</v>
      </c>
      <c r="G1308" s="1" t="str">
        <f>CONCATENATE("25.11.2013.",CHAR(10),"90 dana")</f>
        <v>25.11.2013.
90 dana</v>
      </c>
      <c r="H1308" s="1" t="str">
        <f>CONCATENATE("TEH-GRADNJA D.O.O., ZAGREB",CHAR(10),"GEOANDA D.O.O., ZAGREB",CHAR(10),"C.I.A.K. D.O.O., ZAGREB",CHAR(10),"ELEKTROTEHNIKA NAPON D.O.O., ZAGREB")</f>
        <v>TEH-GRADNJA D.O.O., ZAGREB
GEOANDA D.O.O., ZAGREB
C.I.A.K. D.O.O., ZAGREB
ELEKTROTEHNIKA NAPON D.O.O., ZAGREB</v>
      </c>
      <c r="I1308" s="1" t="s">
        <v>473</v>
      </c>
      <c r="J1308" s="1" t="str">
        <f>SUBSTITUTE(SUBSTITUTE(SUBSTITUTE("495,401.65",".","-"),",","."),"-",",")</f>
        <v>495.401,65</v>
      </c>
      <c r="K1308" s="2"/>
    </row>
    <row r="1309" spans="1:11" ht="110.25" x14ac:dyDescent="0.25">
      <c r="A1309" s="1" t="str">
        <f>"544/2013"</f>
        <v>544/2013</v>
      </c>
      <c r="B1309" s="1" t="s">
        <v>14</v>
      </c>
      <c r="C1309" s="1" t="s">
        <v>2547</v>
      </c>
      <c r="D1309" s="1" t="str">
        <f>CONCATENATE("513-2013-EMV",CHAR(10),"2013/S 002-0043758 od 14.5.2013 ispravak objave 2013/S 014-0049969 od 3.6.2013 i ispravak 2013/S 014-0051149 od 06.06.2013.")</f>
        <v>513-2013-EMV
2013/S 002-0043758 od 14.5.2013 ispravak objave 2013/S 014-0049969 od 3.6.2013 i ispravak 2013/S 014-0051149 od 06.06.2013.</v>
      </c>
      <c r="E1309" s="1" t="s">
        <v>15</v>
      </c>
      <c r="F1309" s="1" t="str">
        <f>"444.000,00"</f>
        <v>444.000,00</v>
      </c>
      <c r="G1309" s="1" t="str">
        <f>CONCATENATE("25.11.2013.",CHAR(10),"30 dana")</f>
        <v>25.11.2013.
30 dana</v>
      </c>
      <c r="H1309" s="1" t="str">
        <f>CONCATENATE("KONIMB D.O.O., ZAGREB")</f>
        <v>KONIMB D.O.O., ZAGREB</v>
      </c>
      <c r="I1309" s="1" t="s">
        <v>16</v>
      </c>
      <c r="J1309" s="1" t="str">
        <f>SUBSTITUTE(SUBSTITUTE(SUBSTITUTE("555,000.00",".","-"),",","."),"-",",")</f>
        <v>555.000,00</v>
      </c>
      <c r="K1309" s="2"/>
    </row>
    <row r="1310" spans="1:11" ht="63" x14ac:dyDescent="0.25">
      <c r="A1310" s="1" t="str">
        <f>"A-104/2013"</f>
        <v>A-104/2013</v>
      </c>
      <c r="B1310" s="1" t="s">
        <v>11</v>
      </c>
      <c r="C1310" s="1" t="s">
        <v>474</v>
      </c>
      <c r="D1310" s="1" t="str">
        <f>"445-2012-EMV"</f>
        <v>445-2012-EMV</v>
      </c>
      <c r="E1310" s="2"/>
      <c r="F1310" s="1" t="str">
        <f>"0,00"</f>
        <v>0,00</v>
      </c>
      <c r="G1310" s="1" t="str">
        <f>CONCATENATE("26.11.2013.",CHAR(10),"do 01.04.2014.")</f>
        <v>26.11.2013.
do 01.04.2014.</v>
      </c>
      <c r="H1310" s="1" t="str">
        <f>CONCATENATE("AG PLANUM D.O.O., ZAGREB")</f>
        <v>AG PLANUM D.O.O., ZAGREB</v>
      </c>
      <c r="I1310" s="2"/>
      <c r="J1310" s="1"/>
      <c r="K1310" s="2"/>
    </row>
    <row r="1311" spans="1:11" ht="110.25" x14ac:dyDescent="0.25">
      <c r="A1311" s="1" t="str">
        <f>"545/2013"</f>
        <v>545/2013</v>
      </c>
      <c r="B1311" s="1" t="s">
        <v>14</v>
      </c>
      <c r="C1311" s="1" t="s">
        <v>2548</v>
      </c>
      <c r="D1311" s="1" t="str">
        <f>CONCATENATE("1999-2013-EMV",CHAR(10),"2013/S 002-0076713 od 11.09.2013.")</f>
        <v>1999-2013-EMV
2013/S 002-0076713 od 11.09.2013.</v>
      </c>
      <c r="E1311" s="1" t="s">
        <v>15</v>
      </c>
      <c r="F1311" s="1" t="str">
        <f>"42.800,00"</f>
        <v>42.800,00</v>
      </c>
      <c r="G1311" s="1" t="str">
        <f>CONCATENATE("26.11.2013.",CHAR(10),"12 mjeseci")</f>
        <v>26.11.2013.
12 mjeseci</v>
      </c>
      <c r="H1311" s="1" t="str">
        <f>CONCATENATE("KOPIMA D.O.O, ZAGREB")</f>
        <v>KOPIMA D.O.O, ZAGREB</v>
      </c>
      <c r="I1311" s="1" t="s">
        <v>475</v>
      </c>
      <c r="J1311" s="1" t="str">
        <f>SUBSTITUTE(SUBSTITUTE(SUBSTITUTE("53,500.00",".","-"),",","."),"-",",")</f>
        <v>53.500,00</v>
      </c>
      <c r="K1311" s="2"/>
    </row>
    <row r="1312" spans="1:11" ht="47.25" x14ac:dyDescent="0.25">
      <c r="A1312" s="1" t="str">
        <f>"546/2013"</f>
        <v>546/2013</v>
      </c>
      <c r="B1312" s="1" t="s">
        <v>14</v>
      </c>
      <c r="C1312" s="1" t="s">
        <v>2549</v>
      </c>
      <c r="D1312" s="1" t="str">
        <f>CONCATENATE("1468-2013-EMV",CHAR(10),"2013/S 002-0045491 od 20.05.2013.")</f>
        <v>1468-2013-EMV
2013/S 002-0045491 od 20.05.2013.</v>
      </c>
      <c r="E1312" s="1" t="s">
        <v>15</v>
      </c>
      <c r="F1312" s="1" t="str">
        <f>"400.850,00"</f>
        <v>400.850,00</v>
      </c>
      <c r="G1312" s="1" t="str">
        <f>CONCATENATE("27.11.2013.",CHAR(10),"12 mjeseci")</f>
        <v>27.11.2013.
12 mjeseci</v>
      </c>
      <c r="H1312" s="1" t="str">
        <f>CONCATENATE("V GRUPA D.O.O., ZAGREB")</f>
        <v>V GRUPA D.O.O., ZAGREB</v>
      </c>
      <c r="I1312" s="2"/>
      <c r="J1312" s="1"/>
      <c r="K1312" s="2"/>
    </row>
    <row r="1313" spans="1:11" ht="47.25" x14ac:dyDescent="0.25">
      <c r="A1313" s="1" t="str">
        <f>"547/2013"</f>
        <v>547/2013</v>
      </c>
      <c r="B1313" s="1" t="s">
        <v>14</v>
      </c>
      <c r="C1313" s="1" t="s">
        <v>2550</v>
      </c>
      <c r="D1313" s="1" t="str">
        <f>CONCATENATE("2246-2013-EMV",CHAR(10),"2013/S-002-0083322 od 04.10.2013.")</f>
        <v>2246-2013-EMV
2013/S-002-0083322 od 04.10.2013.</v>
      </c>
      <c r="E1313" s="1" t="s">
        <v>15</v>
      </c>
      <c r="F1313" s="1" t="str">
        <f>"287.640,00"</f>
        <v>287.640,00</v>
      </c>
      <c r="G1313" s="1" t="str">
        <f>CONCATENATE("27.11.2013.",CHAR(10),"5. 12.2013")</f>
        <v>27.11.2013.
5. 12.2013</v>
      </c>
      <c r="H1313" s="1" t="str">
        <f>CONCATENATE("MARINO-LUČKO D.O.O., LUČKO")</f>
        <v>MARINO-LUČKO D.O.O., LUČKO</v>
      </c>
      <c r="I1313" s="1" t="s">
        <v>65</v>
      </c>
      <c r="J1313" s="1" t="str">
        <f>SUBSTITUTE(SUBSTITUTE(SUBSTITUTE("359,550.00",".","-"),",","."),"-",",")</f>
        <v>359.550,00</v>
      </c>
      <c r="K1313" s="2"/>
    </row>
    <row r="1314" spans="1:11" ht="47.25" x14ac:dyDescent="0.25">
      <c r="A1314" s="1" t="str">
        <f>"548/2013"</f>
        <v>548/2013</v>
      </c>
      <c r="B1314" s="1" t="s">
        <v>14</v>
      </c>
      <c r="C1314" s="1" t="s">
        <v>2551</v>
      </c>
      <c r="D1314" s="1" t="str">
        <f>CONCATENATE("2245-2013-EMV",CHAR(10),"2013/S-002-0082891 od 03.10.2013.")</f>
        <v>2245-2013-EMV
2013/S-002-0082891 od 03.10.2013.</v>
      </c>
      <c r="E1314" s="1" t="s">
        <v>15</v>
      </c>
      <c r="F1314" s="1" t="str">
        <f>"190.120,00"</f>
        <v>190.120,00</v>
      </c>
      <c r="G1314" s="1" t="str">
        <f>CONCATENATE("27.11.2013.",CHAR(10),"13.12. 2013.")</f>
        <v>27.11.2013.
13.12. 2013.</v>
      </c>
      <c r="H1314" s="1" t="str">
        <f>CONCATENATE("MARINO-LUČKO D.O.O., LUČKO")</f>
        <v>MARINO-LUČKO D.O.O., LUČKO</v>
      </c>
      <c r="I1314" s="1" t="s">
        <v>65</v>
      </c>
      <c r="J1314" s="1" t="str">
        <f>SUBSTITUTE(SUBSTITUTE(SUBSTITUTE("237,350.00",".","-"),",","."),"-",",")</f>
        <v>237.350,00</v>
      </c>
      <c r="K1314" s="2"/>
    </row>
    <row r="1315" spans="1:11" ht="47.25" x14ac:dyDescent="0.25">
      <c r="A1315" s="1" t="str">
        <f>"549/2013"</f>
        <v>549/2013</v>
      </c>
      <c r="B1315" s="1" t="s">
        <v>14</v>
      </c>
      <c r="C1315" s="1" t="s">
        <v>2552</v>
      </c>
      <c r="D1315" s="1" t="str">
        <f>CONCATENATE("2028-2013-EMV",CHAR(10),"2013/S-002-0068595 od 02.08.2013.")</f>
        <v>2028-2013-EMV
2013/S-002-0068595 od 02.08.2013.</v>
      </c>
      <c r="E1315" s="1" t="s">
        <v>15</v>
      </c>
      <c r="F1315" s="1" t="str">
        <f>"316.432,65"</f>
        <v>316.432,65</v>
      </c>
      <c r="G1315" s="1" t="str">
        <f>CONCATENATE("28.11.2013.",CHAR(10),"50 dana")</f>
        <v>28.11.2013.
50 dana</v>
      </c>
      <c r="H1315" s="1" t="str">
        <f>CONCATENATE("TIM-COLOR D.O.O., ZAGREB")</f>
        <v>TIM-COLOR D.O.O., ZAGREB</v>
      </c>
      <c r="I1315" s="1" t="s">
        <v>476</v>
      </c>
      <c r="J1315" s="1" t="str">
        <f>SUBSTITUTE(SUBSTITUTE(SUBSTITUTE("395,273.07",".","-"),",","."),"-",",")</f>
        <v>395.273,07</v>
      </c>
      <c r="K1315" s="2"/>
    </row>
    <row r="1316" spans="1:11" ht="78.75" x14ac:dyDescent="0.25">
      <c r="A1316" s="1" t="str">
        <f>"550/2013"</f>
        <v>550/2013</v>
      </c>
      <c r="B1316" s="1" t="s">
        <v>14</v>
      </c>
      <c r="C1316" s="1" t="s">
        <v>2553</v>
      </c>
      <c r="D1316" s="1" t="str">
        <f>CONCATENATE("1968-2013-EMV",CHAR(10),"2013/S 002-0072446 od 26.08.2013.")</f>
        <v>1968-2013-EMV
2013/S 002-0072446 od 26.08.2013.</v>
      </c>
      <c r="E1316" s="1" t="s">
        <v>15</v>
      </c>
      <c r="F1316" s="1" t="str">
        <f>"49.500,00"</f>
        <v>49.500,00</v>
      </c>
      <c r="G1316" s="1" t="str">
        <f>CONCATENATE("28.11.2013.",CHAR(10),"12 mjeseci")</f>
        <v>28.11.2013.
12 mjeseci</v>
      </c>
      <c r="H1316" s="1" t="str">
        <f>CONCATENATE("M-COM D.O.O., ZAGREB",CHAR(10),"URED OVLAŠTENOG INŽENJERA ELEKTROTEHNIKE MARIJAN KOKIĆ, ZAGREB",CHAR(10),"INSING D.O.O., ZAGREB")</f>
        <v>M-COM D.O.O., ZAGREB
URED OVLAŠTENOG INŽENJERA ELEKTROTEHNIKE MARIJAN KOKIĆ, ZAGREB
INSING D.O.O., ZAGREB</v>
      </c>
      <c r="I1316" s="2"/>
      <c r="J1316" s="1"/>
      <c r="K1316" s="2"/>
    </row>
    <row r="1317" spans="1:11" ht="63" x14ac:dyDescent="0.25">
      <c r="A1317" s="1" t="str">
        <f>"551/2013"</f>
        <v>551/2013</v>
      </c>
      <c r="B1317" s="1" t="s">
        <v>14</v>
      </c>
      <c r="C1317" s="1" t="s">
        <v>2011</v>
      </c>
      <c r="D1317" s="1" t="str">
        <f>CONCATENATE("1345-2013-EMV",CHAR(10),"2013/S 002-0069965 od 12.08.2013.")</f>
        <v>1345-2013-EMV
2013/S 002-0069965 od 12.08.2013.</v>
      </c>
      <c r="E1317" s="1" t="s">
        <v>15</v>
      </c>
      <c r="F1317" s="1" t="str">
        <f>"55.100,00"</f>
        <v>55.100,00</v>
      </c>
      <c r="G1317" s="1" t="str">
        <f>CONCATENATE("29.11.2013.",CHAR(10),"12 mjeseci")</f>
        <v>29.11.2013.
12 mjeseci</v>
      </c>
      <c r="H1317" s="1" t="str">
        <f>CONCATENATE("GEOMETAR D.O.O., ZAGREB")</f>
        <v>GEOMETAR D.O.O., ZAGREB</v>
      </c>
      <c r="I1317" s="2"/>
      <c r="J1317" s="1"/>
      <c r="K1317" s="2"/>
    </row>
    <row r="1318" spans="1:11" ht="47.25" x14ac:dyDescent="0.25">
      <c r="A1318" s="1" t="str">
        <f>"552/2013"</f>
        <v>552/2013</v>
      </c>
      <c r="B1318" s="1" t="s">
        <v>14</v>
      </c>
      <c r="C1318" s="1" t="s">
        <v>2554</v>
      </c>
      <c r="D1318" s="1" t="str">
        <f>CONCATENATE("505-2013-EMV",CHAR(10),"2013/S 002-0059833 od 04.07.2013.")</f>
        <v>505-2013-EMV
2013/S 002-0059833 od 04.07.2013.</v>
      </c>
      <c r="E1318" s="1" t="s">
        <v>15</v>
      </c>
      <c r="F1318" s="1" t="str">
        <f>"1.707.828,00"</f>
        <v>1.707.828,00</v>
      </c>
      <c r="G1318" s="1" t="str">
        <f>CONCATENATE("02.12.2013.",CHAR(10),"60 dana")</f>
        <v>02.12.2013.
60 dana</v>
      </c>
      <c r="H1318" s="1" t="str">
        <f>CONCATENATE("O.K.I. MONT D.O.O., ZAGREB",CHAR(10),"KEMIS-TERMOCLEAN D.O.O., ZAGREB")</f>
        <v>O.K.I. MONT D.O.O., ZAGREB
KEMIS-TERMOCLEAN D.O.O., ZAGREB</v>
      </c>
      <c r="I1318" s="1" t="s">
        <v>319</v>
      </c>
      <c r="J1318" s="1" t="str">
        <f>SUBSTITUTE(SUBSTITUTE(SUBSTITUTE("2,125,864.80",".","-"),",","."),"-",",")</f>
        <v>2.125.864,80</v>
      </c>
      <c r="K1318" s="2"/>
    </row>
    <row r="1319" spans="1:11" ht="47.25" x14ac:dyDescent="0.25">
      <c r="A1319" s="1" t="str">
        <f>"553/2013"</f>
        <v>553/2013</v>
      </c>
      <c r="B1319" s="1" t="s">
        <v>14</v>
      </c>
      <c r="C1319" s="1" t="s">
        <v>2555</v>
      </c>
      <c r="D1319" s="1" t="str">
        <f>CONCATENATE("1317-2013-EMV",CHAR(10),"2013/S 015-0095616 od 20.11.2013.")</f>
        <v>1317-2013-EMV
2013/S 015-0095616 od 20.11.2013.</v>
      </c>
      <c r="E1319" s="1" t="s">
        <v>12</v>
      </c>
      <c r="F1319" s="1" t="str">
        <f>"99.894,00"</f>
        <v>99.894,00</v>
      </c>
      <c r="G1319" s="1" t="str">
        <f>CONCATENATE("03.12.2013.",CHAR(10),"1 mjesec")</f>
        <v>03.12.2013.
1 mjesec</v>
      </c>
      <c r="H1319" s="1" t="str">
        <f>CONCATENATE("GIP PIONIR D.O.O., ZAGREB")</f>
        <v>GIP PIONIR D.O.O., ZAGREB</v>
      </c>
      <c r="I1319" s="1" t="s">
        <v>134</v>
      </c>
      <c r="J1319" s="1" t="str">
        <f>SUBSTITUTE(SUBSTITUTE(SUBSTITUTE("124,293.50",".","-"),",","."),"-",",")</f>
        <v>124.293,50</v>
      </c>
      <c r="K1319" s="2"/>
    </row>
    <row r="1320" spans="1:11" ht="78.75" x14ac:dyDescent="0.25">
      <c r="A1320" s="1" t="str">
        <f>"554/2013"</f>
        <v>554/2013</v>
      </c>
      <c r="B1320" s="1" t="s">
        <v>14</v>
      </c>
      <c r="C1320" s="1" t="s">
        <v>2556</v>
      </c>
      <c r="D1320" s="1" t="str">
        <f>CONCATENATE("1221-2013-EMV",CHAR(10),"2013/S 002-0073025 od 28.8.2013 ispravak 2013/S 014-0078293 od 17.09.2013.")</f>
        <v>1221-2013-EMV
2013/S 002-0073025 od 28.8.2013 ispravak 2013/S 014-0078293 od 17.09.2013.</v>
      </c>
      <c r="E1320" s="1" t="s">
        <v>15</v>
      </c>
      <c r="F1320" s="1" t="str">
        <f>"2.488.776,00"</f>
        <v>2.488.776,00</v>
      </c>
      <c r="G1320" s="1" t="str">
        <f>CONCATENATE("03.12.2013.",CHAR(10),"12 mjeseci")</f>
        <v>03.12.2013.
12 mjeseci</v>
      </c>
      <c r="H1320" s="1" t="str">
        <f>CONCATENATE("GIP PIONIR D.O.O., ZAGREB",CHAR(10),"C.I.A.K. D.O.O., ZAGREB")</f>
        <v>GIP PIONIR D.O.O., ZAGREB
C.I.A.K. D.O.O., ZAGREB</v>
      </c>
      <c r="I1320" s="2"/>
      <c r="J1320" s="1"/>
      <c r="K1320" s="2"/>
    </row>
    <row r="1321" spans="1:11" ht="63" x14ac:dyDescent="0.25">
      <c r="A1321" s="1" t="str">
        <f>"A-105/2013"</f>
        <v>A-105/2013</v>
      </c>
      <c r="B1321" s="1" t="s">
        <v>11</v>
      </c>
      <c r="C1321" s="1" t="s">
        <v>2557</v>
      </c>
      <c r="D1321" s="1" t="str">
        <f>"250-2012-EVV"</f>
        <v>250-2012-EVV</v>
      </c>
      <c r="E1321" s="2"/>
      <c r="F1321" s="1" t="str">
        <f>"0,00"</f>
        <v>0,00</v>
      </c>
      <c r="G1321" s="1" t="str">
        <f>CONCATENATE("02.12.2013.",CHAR(10),"do konačne financijske realizacije ugovora odnosno do sklapanja novog ugovora")</f>
        <v>02.12.2013.
do konačne financijske realizacije ugovora odnosno do sklapanja novog ugovora</v>
      </c>
      <c r="H1321" s="1" t="str">
        <f>CONCATENATE("HP-HRVATSKA POŠTA D.D., ZAGREB")</f>
        <v>HP-HRVATSKA POŠTA D.D., ZAGREB</v>
      </c>
      <c r="I1321" s="2"/>
      <c r="J1321" s="1"/>
      <c r="K1321" s="2"/>
    </row>
    <row r="1322" spans="1:11" ht="31.5" x14ac:dyDescent="0.25">
      <c r="A1322" s="1" t="str">
        <f>"A-106/2013"</f>
        <v>A-106/2013</v>
      </c>
      <c r="B1322" s="1" t="s">
        <v>11</v>
      </c>
      <c r="C1322" s="1" t="s">
        <v>2558</v>
      </c>
      <c r="D1322" s="1" t="str">
        <f>"2547-2012-EMV"</f>
        <v>2547-2012-EMV</v>
      </c>
      <c r="E1322" s="2"/>
      <c r="F1322" s="1" t="str">
        <f>"0,00"</f>
        <v>0,00</v>
      </c>
      <c r="G1322" s="1" t="str">
        <f>CONCATENATE("04.12.2013.",CHAR(10),"31.12.2013")</f>
        <v>04.12.2013.
31.12.2013</v>
      </c>
      <c r="H1322" s="1" t="str">
        <f>CONCATENATE("COLAS HRVATSKA D.D., VARAŽDIN",CHAR(10),"AQUATEHNIKA D.O.O., VARAŽDIN")</f>
        <v>COLAS HRVATSKA D.D., VARAŽDIN
AQUATEHNIKA D.O.O., VARAŽDIN</v>
      </c>
      <c r="I1322" s="2"/>
      <c r="J1322" s="1"/>
      <c r="K1322" s="2"/>
    </row>
    <row r="1323" spans="1:11" ht="47.25" x14ac:dyDescent="0.25">
      <c r="A1323" s="1" t="str">
        <f>"A-107/2013"</f>
        <v>A-107/2013</v>
      </c>
      <c r="B1323" s="1" t="s">
        <v>11</v>
      </c>
      <c r="C1323" s="1" t="s">
        <v>2559</v>
      </c>
      <c r="D1323" s="1" t="str">
        <f>"2057-2012-EVV"</f>
        <v>2057-2012-EVV</v>
      </c>
      <c r="E1323" s="2"/>
      <c r="F1323" s="1" t="str">
        <f>"0,00"</f>
        <v>0,00</v>
      </c>
      <c r="G1323" s="1" t="str">
        <f>CONCATENATE("05.12.2013.",CHAR(10),"4 mjeseca, računajući od dana obostranog potpisa ugovora")</f>
        <v>05.12.2013.
4 mjeseca, računajući od dana obostranog potpisa ugovora</v>
      </c>
      <c r="H1323" s="1" t="str">
        <f>CONCATENATE("ŠKOLSKI SERVIS D.O.O., ZAGREB",CHAR(10),"ORTO REA D.O.O., VARAŽDIN (JALKOVEC)")</f>
        <v>ŠKOLSKI SERVIS D.O.O., ZAGREB
ORTO REA D.O.O., VARAŽDIN (JALKOVEC)</v>
      </c>
      <c r="I1323" s="2"/>
      <c r="J1323" s="1"/>
      <c r="K1323" s="2"/>
    </row>
    <row r="1324" spans="1:11" ht="47.25" x14ac:dyDescent="0.25">
      <c r="A1324" s="1" t="str">
        <f>"A-108/2013"</f>
        <v>A-108/2013</v>
      </c>
      <c r="B1324" s="1" t="s">
        <v>11</v>
      </c>
      <c r="C1324" s="1" t="s">
        <v>2560</v>
      </c>
      <c r="D1324" s="1" t="str">
        <f>"2568-2012-EMV"</f>
        <v>2568-2012-EMV</v>
      </c>
      <c r="E1324" s="2"/>
      <c r="F1324" s="1" t="str">
        <f>"0,00"</f>
        <v>0,00</v>
      </c>
      <c r="G1324" s="1" t="str">
        <f>CONCATENATE("05.12.2013.",CHAR(10),"30.06.2014.")</f>
        <v>05.12.2013.
30.06.2014.</v>
      </c>
      <c r="H1324" s="1" t="str">
        <f>CONCATENATE("HEP-OPERATOR DISTRIBUCIJSKOG SUSTAVA D.O.O., ZAGREB")</f>
        <v>HEP-OPERATOR DISTRIBUCIJSKOG SUSTAVA D.O.O., ZAGREB</v>
      </c>
      <c r="I1324" s="2"/>
      <c r="J1324" s="1"/>
      <c r="K1324" s="2"/>
    </row>
    <row r="1325" spans="1:11" ht="78.75" x14ac:dyDescent="0.25">
      <c r="A1325" s="1" t="str">
        <f>"555/2013"</f>
        <v>555/2013</v>
      </c>
      <c r="B1325" s="1" t="s">
        <v>14</v>
      </c>
      <c r="C1325" s="1" t="s">
        <v>2561</v>
      </c>
      <c r="D1325" s="1" t="str">
        <f>CONCATENATE("2786-2013-EMV",CHAR(10),"2013/S 002-0086941 od 18.10.2013.")</f>
        <v>2786-2013-EMV
2013/S 002-0086941 od 18.10.2013.</v>
      </c>
      <c r="E1325" s="1" t="s">
        <v>15</v>
      </c>
      <c r="F1325" s="1" t="str">
        <f>"86.200,00"</f>
        <v>86.200,00</v>
      </c>
      <c r="G1325" s="1" t="str">
        <f>CONCATENATE("06.12.2013.",CHAR(10),"90 dana")</f>
        <v>06.12.2013.
90 dana</v>
      </c>
      <c r="H1325" s="1" t="str">
        <f>CONCATENATE("KOPIMA D.O.O, ZAGREB",CHAR(10),"MGV D.O.O., ZAGREB",CHAR(10),"PROJEKTNI BIRO NAGLIĆ D.O.O., ZAGREB",CHAR(10),"AG PLANUM D.O.O., ZAGREB")</f>
        <v>KOPIMA D.O.O, ZAGREB
MGV D.O.O., ZAGREB
PROJEKTNI BIRO NAGLIĆ D.O.O., ZAGREB
AG PLANUM D.O.O., ZAGREB</v>
      </c>
      <c r="I1325" s="2"/>
      <c r="J1325" s="1"/>
      <c r="K1325" s="2"/>
    </row>
    <row r="1326" spans="1:11" ht="47.25" x14ac:dyDescent="0.25">
      <c r="A1326" s="1" t="str">
        <f>"556/2013"</f>
        <v>556/2013</v>
      </c>
      <c r="B1326" s="1" t="s">
        <v>14</v>
      </c>
      <c r="C1326" s="1" t="s">
        <v>2562</v>
      </c>
      <c r="D1326" s="1" t="str">
        <f>CONCATENATE("1144-2013-EMV",CHAR(10),"2013/S 002-0037854 od 24.04.2013.")</f>
        <v>1144-2013-EMV
2013/S 002-0037854 od 24.04.2013.</v>
      </c>
      <c r="E1326" s="1" t="s">
        <v>15</v>
      </c>
      <c r="F1326" s="1" t="str">
        <f>"649.381,30"</f>
        <v>649.381,30</v>
      </c>
      <c r="G1326" s="1" t="str">
        <f>CONCATENATE("09.12.2013.",CHAR(10),"10 mjeseci")</f>
        <v>09.12.2013.
10 mjeseci</v>
      </c>
      <c r="H1326" s="1" t="str">
        <f>CONCATENATE("TEH-GRADNJA D.O.O., ZAGREB")</f>
        <v>TEH-GRADNJA D.O.O., ZAGREB</v>
      </c>
      <c r="I1326" s="2"/>
      <c r="J1326" s="1"/>
      <c r="K1326" s="2"/>
    </row>
    <row r="1327" spans="1:11" ht="63" x14ac:dyDescent="0.25">
      <c r="A1327" s="1" t="str">
        <f>"A-109/2013"</f>
        <v>A-109/2013</v>
      </c>
      <c r="B1327" s="1" t="s">
        <v>11</v>
      </c>
      <c r="C1327" s="1" t="s">
        <v>2563</v>
      </c>
      <c r="D1327" s="1" t="str">
        <f>"2696-2012-EMV"</f>
        <v>2696-2012-EMV</v>
      </c>
      <c r="E1327" s="2"/>
      <c r="F1327" s="1" t="str">
        <f>"0,00"</f>
        <v>0,00</v>
      </c>
      <c r="G1327" s="1" t="str">
        <f>CONCATENATE("10.12.2013.",CHAR(10),"do 30.lipnja 2014.")</f>
        <v>10.12.2013.
do 30.lipnja 2014.</v>
      </c>
      <c r="H1327" s="1" t="str">
        <f>CONCATENATE("URIHO - USTANOVA ZA PROFESIONALNU REHABILITACIJU I ZAPOŠLJAVANJE OSOBA S INVALIDITETOM, ZAGREB")</f>
        <v>URIHO - USTANOVA ZA PROFESIONALNU REHABILITACIJU I ZAPOŠLJAVANJE OSOBA S INVALIDITETOM, ZAGREB</v>
      </c>
      <c r="I1327" s="2"/>
      <c r="J1327" s="1"/>
      <c r="K1327" s="2"/>
    </row>
    <row r="1328" spans="1:11" ht="63" x14ac:dyDescent="0.25">
      <c r="A1328" s="1" t="str">
        <f>"A-110/2013"</f>
        <v>A-110/2013</v>
      </c>
      <c r="B1328" s="1" t="s">
        <v>11</v>
      </c>
      <c r="C1328" s="1" t="s">
        <v>2564</v>
      </c>
      <c r="D1328" s="1" t="str">
        <f>"2527-2012-EMV"</f>
        <v>2527-2012-EMV</v>
      </c>
      <c r="E1328" s="2"/>
      <c r="F1328" s="1" t="str">
        <f>"0,00"</f>
        <v>0,00</v>
      </c>
      <c r="G1328" s="1" t="str">
        <f>CONCATENATE("10.12.2013.",CHAR(10),"30.06.2014.")</f>
        <v>10.12.2013.
30.06.2014.</v>
      </c>
      <c r="H1328" s="1" t="str">
        <f>CONCATENATE("PGT ŠKUNCA D.O.O., ZAGREB-SUSEDGRAD")</f>
        <v>PGT ŠKUNCA D.O.O., ZAGREB-SUSEDGRAD</v>
      </c>
      <c r="I1328" s="2"/>
      <c r="J1328" s="1"/>
      <c r="K1328" s="2"/>
    </row>
    <row r="1329" spans="1:11" ht="31.5" x14ac:dyDescent="0.25">
      <c r="A1329" s="1" t="str">
        <f>"A-111/2013"</f>
        <v>A-111/2013</v>
      </c>
      <c r="B1329" s="1" t="s">
        <v>11</v>
      </c>
      <c r="C1329" s="1" t="s">
        <v>2565</v>
      </c>
      <c r="D1329" s="1" t="str">
        <f>"2459-2012-EMV"</f>
        <v>2459-2012-EMV</v>
      </c>
      <c r="E1329" s="2"/>
      <c r="F1329" s="1" t="str">
        <f>"0,00"</f>
        <v>0,00</v>
      </c>
      <c r="G1329" s="1" t="str">
        <f>CONCATENATE("11.12.2013.",CHAR(10),"31.01.2014")</f>
        <v>11.12.2013.
31.01.2014</v>
      </c>
      <c r="H1329" s="1" t="str">
        <f>CONCATENATE("C.S.P. D.O.O., ZAGREB")</f>
        <v>C.S.P. D.O.O., ZAGREB</v>
      </c>
      <c r="I1329" s="2"/>
      <c r="J1329" s="1"/>
      <c r="K1329" s="2"/>
    </row>
    <row r="1330" spans="1:11" ht="157.5" x14ac:dyDescent="0.25">
      <c r="A1330" s="1" t="str">
        <f>"557/2013"</f>
        <v>557/2013</v>
      </c>
      <c r="B1330" s="1" t="s">
        <v>14</v>
      </c>
      <c r="C1330" s="1" t="s">
        <v>2566</v>
      </c>
      <c r="D1330" s="1" t="str">
        <f>CONCATENATE("1259-2013-EMV",CHAR(10),"2013/S 002-0067057 od 29.07.2013.")</f>
        <v>1259-2013-EMV
2013/S 002-0067057 od 29.07.2013.</v>
      </c>
      <c r="E1330" s="1" t="s">
        <v>15</v>
      </c>
      <c r="F1330" s="1" t="str">
        <f>"38.600,00"</f>
        <v>38.600,00</v>
      </c>
      <c r="G1330" s="1" t="str">
        <f>CONCATENATE("11.12.2013.",CHAR(10),"12 mjeseci")</f>
        <v>11.12.2013.
12 mjeseci</v>
      </c>
      <c r="H1330" s="1" t="str">
        <f>CONCATENATE("PGT ŠKUNCA D.O.O., ZAGREB-SUSEDGRAD")</f>
        <v>PGT ŠKUNCA D.O.O., ZAGREB-SUSEDGRAD</v>
      </c>
      <c r="I1330" s="2"/>
      <c r="J1330" s="1"/>
      <c r="K1330" s="2"/>
    </row>
    <row r="1331" spans="1:11" ht="47.25" x14ac:dyDescent="0.25">
      <c r="A1331" s="1" t="str">
        <f>"A-112/2013"</f>
        <v>A-112/2013</v>
      </c>
      <c r="B1331" s="1" t="s">
        <v>11</v>
      </c>
      <c r="C1331" s="1" t="s">
        <v>2567</v>
      </c>
      <c r="D1331" s="2"/>
      <c r="E1331" s="2"/>
      <c r="F1331" s="1" t="str">
        <f>"0,00"</f>
        <v>0,00</v>
      </c>
      <c r="G1331" s="1" t="str">
        <f>CONCATENATE("11.12.2013.",CHAR(10),"do 15.03.2014.")</f>
        <v>11.12.2013.
do 15.03.2014.</v>
      </c>
      <c r="H1331" s="1" t="str">
        <f>CONCATENATE("DIV D.O.O., SAMOBOR")</f>
        <v>DIV D.O.O., SAMOBOR</v>
      </c>
      <c r="I1331" s="2"/>
      <c r="J1331" s="1"/>
      <c r="K1331" s="2"/>
    </row>
    <row r="1332" spans="1:11" ht="63" x14ac:dyDescent="0.25">
      <c r="A1332" s="1" t="str">
        <f>"558/2013"</f>
        <v>558/2013</v>
      </c>
      <c r="B1332" s="1" t="s">
        <v>14</v>
      </c>
      <c r="C1332" s="1" t="s">
        <v>2568</v>
      </c>
      <c r="D1332" s="1" t="str">
        <f>CONCATENATE("1186-2013-EVV",CHAR(10),"2013/S 002-0085620 od 15.10.2013.")</f>
        <v>1186-2013-EVV
2013/S 002-0085620 od 15.10.2013.</v>
      </c>
      <c r="E1332" s="1" t="s">
        <v>15</v>
      </c>
      <c r="F1332" s="1" t="str">
        <f>"8.799.013,00"</f>
        <v>8.799.013,00</v>
      </c>
      <c r="G1332" s="1" t="str">
        <f>CONCATENATE("06.12.2013.",CHAR(10),"5 mjeseci")</f>
        <v>06.12.2013.
5 mjeseci</v>
      </c>
      <c r="H1332" s="1" t="str">
        <f>CONCATENATE("VODOPRIVREDA ZAGREB D.D., ZAGREB",CHAR(10),"POLJO-PROM TRGOVINA I USLUGE, VL. ZLATKO KRIŽANIĆ, ZAGREB")</f>
        <v>VODOPRIVREDA ZAGREB D.D., ZAGREB
POLJO-PROM TRGOVINA I USLUGE, VL. ZLATKO KRIŽANIĆ, ZAGREB</v>
      </c>
      <c r="I1332" s="1" t="s">
        <v>477</v>
      </c>
      <c r="J1332" s="1" t="str">
        <f>SUBSTITUTE(SUBSTITUTE(SUBSTITUTE("7,200,596.52",".","-"),",","."),"-",",")</f>
        <v>7.200.596,52</v>
      </c>
      <c r="K1332" s="2"/>
    </row>
    <row r="1333" spans="1:11" ht="157.5" x14ac:dyDescent="0.25">
      <c r="A1333" s="1" t="str">
        <f>"559/2013"</f>
        <v>559/2013</v>
      </c>
      <c r="B1333" s="1" t="s">
        <v>14</v>
      </c>
      <c r="C1333" s="1" t="s">
        <v>2569</v>
      </c>
      <c r="D1333" s="1" t="str">
        <f>CONCATENATE("1185-2013-EVV",CHAR(10),"2013/S 002-0086031 od 16.10.2013.")</f>
        <v>1185-2013-EVV
2013/S 002-0086031 od 16.10.2013.</v>
      </c>
      <c r="E1333" s="1" t="s">
        <v>15</v>
      </c>
      <c r="F1333" s="1" t="str">
        <f>"5.450.000,00"</f>
        <v>5.450.000,00</v>
      </c>
      <c r="G1333" s="1" t="str">
        <f>CONCATENATE("06.12.2013.",CHAR(10),"5 mjeseci")</f>
        <v>06.12.2013.
5 mjeseci</v>
      </c>
      <c r="H1333" s="1" t="str">
        <f>CONCATENATE("VIADUKT D.D., ZAGREB",CHAR(10),"NERING D.O.O., SESVETE",CHAR(10),"ŠANDRK PROJEKT D.O.O., DUGO SELO",CHAR(10),"GEORAD D.O.O., ZAGREB",CHAR(10),"M. SOLDO D.O.O., ZAGREB",CHAR(10),"TIGRA D.O.O., ZAGREB",CHAR(10),"KOM-EKO D.O.O., ZAGREB",CHAR(10),"GIP PIONIR D.O.O., ZAGREB",CHAR(10),"PUGAR D.O.O., VELIKA GORICA")</f>
        <v>VIADUKT D.D., ZAGREB
NERING D.O.O., SESVETE
ŠANDRK PROJEKT D.O.O., DUGO SELO
GEORAD D.O.O., ZAGREB
M. SOLDO D.O.O., ZAGREB
TIGRA D.O.O., ZAGREB
KOM-EKO D.O.O., ZAGREB
GIP PIONIR D.O.O., ZAGREB
PUGAR D.O.O., VELIKA GORICA</v>
      </c>
      <c r="I1333" s="2"/>
      <c r="J1333" s="1"/>
      <c r="K1333" s="2"/>
    </row>
    <row r="1334" spans="1:11" ht="47.25" x14ac:dyDescent="0.25">
      <c r="A1334" s="1" t="str">
        <f>"560/2013"</f>
        <v>560/2013</v>
      </c>
      <c r="B1334" s="1" t="s">
        <v>26</v>
      </c>
      <c r="C1334" s="1" t="s">
        <v>2570</v>
      </c>
      <c r="D1334" s="1" t="str">
        <f>"237-2013-EVV"</f>
        <v>237-2013-EVV</v>
      </c>
      <c r="E1334" s="2"/>
      <c r="F1334" s="1" t="str">
        <f>"2.606.095,27"</f>
        <v>2.606.095,27</v>
      </c>
      <c r="G1334" s="1" t="str">
        <f>CONCATENATE("03.12.2013.",CHAR(10),"1 godina")</f>
        <v>03.12.2013.
1 godina</v>
      </c>
      <c r="H1334" s="1" t="str">
        <f>CONCATENATE("METRONET TELEKOMUNIKACIJE D.D., ZAGREB")</f>
        <v>METRONET TELEKOMUNIKACIJE D.D., ZAGREB</v>
      </c>
      <c r="I1334" s="1" t="s">
        <v>478</v>
      </c>
      <c r="J1334" s="1" t="str">
        <f>SUBSTITUTE(SUBSTITUTE(SUBSTITUTE("2,858,139.39",".","-"),",","."),"-",",")</f>
        <v>2.858.139,39</v>
      </c>
      <c r="K1334" s="2"/>
    </row>
    <row r="1335" spans="1:11" ht="47.25" x14ac:dyDescent="0.25">
      <c r="A1335" s="1" t="str">
        <f>"561/2013"</f>
        <v>561/2013</v>
      </c>
      <c r="B1335" s="1" t="s">
        <v>14</v>
      </c>
      <c r="C1335" s="1" t="s">
        <v>2571</v>
      </c>
      <c r="D1335" s="1" t="str">
        <f>CONCATENATE("2830-2013-EMV",CHAR(10),"2013/S 002-0078665 od 19.09.2013.")</f>
        <v>2830-2013-EMV
2013/S 002-0078665 od 19.09.2013.</v>
      </c>
      <c r="E1335" s="1" t="s">
        <v>15</v>
      </c>
      <c r="F1335" s="1" t="str">
        <f>"154.975,00"</f>
        <v>154.975,00</v>
      </c>
      <c r="G1335" s="1" t="str">
        <f>CONCATENATE("11.12.2013.",CHAR(10),"30 dana")</f>
        <v>11.12.2013.
30 dana</v>
      </c>
      <c r="H1335" s="1" t="str">
        <f>CONCATENATE("ERG D.O.O., VARAŽDIN")</f>
        <v>ERG D.O.O., VARAŽDIN</v>
      </c>
      <c r="I1335" s="1" t="s">
        <v>479</v>
      </c>
      <c r="J1335" s="1" t="str">
        <f>SUBSTITUTE(SUBSTITUTE(SUBSTITUTE("193,718.75",".","-"),",","."),"-",",")</f>
        <v>193.718,75</v>
      </c>
      <c r="K1335" s="2"/>
    </row>
    <row r="1336" spans="1:11" ht="47.25" x14ac:dyDescent="0.25">
      <c r="A1336" s="1" t="str">
        <f>"562/2013"</f>
        <v>562/2013</v>
      </c>
      <c r="B1336" s="1" t="s">
        <v>14</v>
      </c>
      <c r="C1336" s="1" t="s">
        <v>2572</v>
      </c>
      <c r="D1336" s="1" t="str">
        <f>CONCATENATE("2293-2013-EMV",CHAR(10),"2013/S 002-0078221 od 17.09.2013.")</f>
        <v>2293-2013-EMV
2013/S 002-0078221 od 17.09.2013.</v>
      </c>
      <c r="E1336" s="1" t="s">
        <v>15</v>
      </c>
      <c r="F1336" s="1" t="str">
        <f>"201.433,50"</f>
        <v>201.433,50</v>
      </c>
      <c r="G1336" s="1" t="str">
        <f>CONCATENATE("13.12.2013.",CHAR(10),"30 dana")</f>
        <v>13.12.2013.
30 dana</v>
      </c>
      <c r="H1336" s="1" t="str">
        <f>CONCATENATE("BIOELEKTRONIKA D.O.O., ZAGREB")</f>
        <v>BIOELEKTRONIKA D.O.O., ZAGREB</v>
      </c>
      <c r="I1336" s="1" t="s">
        <v>377</v>
      </c>
      <c r="J1336" s="1" t="str">
        <f>SUBSTITUTE(SUBSTITUTE(SUBSTITUTE("251,791.88",".","-"),",","."),"-",",")</f>
        <v>251.791,88</v>
      </c>
      <c r="K1336" s="2"/>
    </row>
    <row r="1337" spans="1:11" ht="47.25" x14ac:dyDescent="0.25">
      <c r="A1337" s="1" t="str">
        <f>"563/2013"</f>
        <v>563/2013</v>
      </c>
      <c r="B1337" s="1" t="s">
        <v>14</v>
      </c>
      <c r="C1337" s="1" t="s">
        <v>2573</v>
      </c>
      <c r="D1337" s="1" t="str">
        <f>CONCATENATE("1474-2013-EMV",CHAR(10),"2013/S 002-0081105 od 27.09.2013.")</f>
        <v>1474-2013-EMV
2013/S 002-0081105 od 27.09.2013.</v>
      </c>
      <c r="E1337" s="1" t="s">
        <v>15</v>
      </c>
      <c r="F1337" s="1" t="str">
        <f>"395.000,00"</f>
        <v>395.000,00</v>
      </c>
      <c r="G1337" s="1" t="str">
        <f>CONCATENATE("16.12.2013.",CHAR(10),"12 mjeseci")</f>
        <v>16.12.2013.
12 mjeseci</v>
      </c>
      <c r="H1337" s="1" t="str">
        <f>CONCATENATE("NERING D.O.O., SESVETE")</f>
        <v>NERING D.O.O., SESVETE</v>
      </c>
      <c r="I1337" s="1" t="s">
        <v>480</v>
      </c>
      <c r="J1337" s="1" t="str">
        <f>SUBSTITUTE(SUBSTITUTE(SUBSTITUTE("97,500.00",".","-"),",","."),"-",",")</f>
        <v>97.500,00</v>
      </c>
      <c r="K1337" s="2"/>
    </row>
    <row r="1338" spans="1:11" ht="63" x14ac:dyDescent="0.25">
      <c r="A1338" s="1" t="str">
        <f>"564/2013"</f>
        <v>564/2013</v>
      </c>
      <c r="B1338" s="1" t="s">
        <v>14</v>
      </c>
      <c r="C1338" s="1" t="s">
        <v>2574</v>
      </c>
      <c r="D1338" s="1" t="str">
        <f>CONCATENATE("2735-2013-EMV",CHAR(10),"2013/S 015-0097514 od 28.11.2013.")</f>
        <v>2735-2013-EMV
2013/S 015-0097514 od 28.11.2013.</v>
      </c>
      <c r="E1338" s="1" t="s">
        <v>12</v>
      </c>
      <c r="F1338" s="1" t="str">
        <f>"139.963,88"</f>
        <v>139.963,88</v>
      </c>
      <c r="G1338" s="1" t="str">
        <f>CONCATENATE("17.12.2013.",CHAR(10),"2 mjeseca")</f>
        <v>17.12.2013.
2 mjeseca</v>
      </c>
      <c r="H1338" s="1" t="str">
        <f>CONCATENATE("GRADNJAPROJEKT- ZAGREB D.O.O., ZAGREB",CHAR(10),"LJEVAONICA UMJETNINA ALU D.O.O., ZAGREB")</f>
        <v>GRADNJAPROJEKT- ZAGREB D.O.O., ZAGREB
LJEVAONICA UMJETNINA ALU D.O.O., ZAGREB</v>
      </c>
      <c r="I1338" s="1" t="s">
        <v>82</v>
      </c>
      <c r="J1338" s="1" t="str">
        <f>SUBSTITUTE(SUBSTITUTE(SUBSTITUTE("174,898.10",".","-"),",","."),"-",",")</f>
        <v>174.898,10</v>
      </c>
      <c r="K1338" s="2"/>
    </row>
    <row r="1339" spans="1:11" ht="78.75" x14ac:dyDescent="0.25">
      <c r="A1339" s="1" t="str">
        <f>"565/2013"</f>
        <v>565/2013</v>
      </c>
      <c r="B1339" s="1" t="s">
        <v>26</v>
      </c>
      <c r="C1339" s="1" t="s">
        <v>2575</v>
      </c>
      <c r="D1339" s="1" t="str">
        <f>"194-2013-EMV"</f>
        <v>194-2013-EMV</v>
      </c>
      <c r="E1339" s="2"/>
      <c r="F1339" s="1" t="str">
        <f>"135.892,00"</f>
        <v>135.892,00</v>
      </c>
      <c r="G1339" s="1" t="str">
        <f>CONCATENATE("18.12.2013.",CHAR(10),"1 godina")</f>
        <v>18.12.2013.
1 godina</v>
      </c>
      <c r="H1339" s="1" t="str">
        <f>CONCATENATE("STROJOOBNOVA OBRT ZA SERVISIRANJE, POPRAVAK I MONTAŽU POLJOPRIVREDNIH STROJEVA, VL. TIHOMOR LJUBIĆ, DONJA PUŠĆA")</f>
        <v>STROJOOBNOVA OBRT ZA SERVISIRANJE, POPRAVAK I MONTAŽU POLJOPRIVREDNIH STROJEVA, VL. TIHOMOR LJUBIĆ, DONJA PUŠĆA</v>
      </c>
      <c r="I1339" s="1" t="s">
        <v>384</v>
      </c>
      <c r="J1339" s="1" t="str">
        <f>SUBSTITUTE(SUBSTITUTE(SUBSTITUTE("128,798.06",".","-"),",","."),"-",",")</f>
        <v>128.798,06</v>
      </c>
      <c r="K1339" s="2"/>
    </row>
    <row r="1340" spans="1:11" ht="110.25" x14ac:dyDescent="0.25">
      <c r="A1340" s="1" t="str">
        <f>"566/2013"</f>
        <v>566/2013</v>
      </c>
      <c r="B1340" s="1" t="s">
        <v>14</v>
      </c>
      <c r="C1340" s="1" t="s">
        <v>2576</v>
      </c>
      <c r="D1340" s="1" t="str">
        <f>CONCATENATE("2295-2013-EMV",CHAR(10),"2013/S 002-0079398 od 23.09.2013, isp. 2013/S 014-0084907 od 11.10.20132 i isp. 2013/S 014-0085221 od 14.10.2013.")</f>
        <v>2295-2013-EMV
2013/S 002-0079398 od 23.09.2013, isp. 2013/S 014-0084907 od 11.10.20132 i isp. 2013/S 014-0085221 od 14.10.2013.</v>
      </c>
      <c r="E1340" s="1" t="s">
        <v>15</v>
      </c>
      <c r="F1340" s="1" t="str">
        <f>"164.900,00"</f>
        <v>164.900,00</v>
      </c>
      <c r="G1340" s="1" t="str">
        <f>CONCATENATE("18.12.2013.",CHAR(10),"30 dana")</f>
        <v>18.12.2013.
30 dana</v>
      </c>
      <c r="H1340" s="1" t="str">
        <f>CONCATENATE("FESTTA D.O.O., ZAGREB")</f>
        <v>FESTTA D.O.O., ZAGREB</v>
      </c>
      <c r="I1340" s="1" t="s">
        <v>481</v>
      </c>
      <c r="J1340" s="1" t="str">
        <f>SUBSTITUTE(SUBSTITUTE(SUBSTITUTE("206,125.00",".","-"),",","."),"-",",")</f>
        <v>206.125,00</v>
      </c>
      <c r="K1340" s="2"/>
    </row>
    <row r="1341" spans="1:11" ht="47.25" x14ac:dyDescent="0.25">
      <c r="A1341" s="1" t="str">
        <f>"567/2013"</f>
        <v>567/2013</v>
      </c>
      <c r="B1341" s="1" t="s">
        <v>136</v>
      </c>
      <c r="C1341" s="1" t="s">
        <v>2577</v>
      </c>
      <c r="D1341" s="1" t="str">
        <f>CONCATENATE("191-2013-EMV",CHAR(10),"2013/S 002-0084844 od 11.10.2013.")</f>
        <v>191-2013-EMV
2013/S 002-0084844 od 11.10.2013.</v>
      </c>
      <c r="E1341" s="1" t="s">
        <v>366</v>
      </c>
      <c r="F1341" s="1" t="str">
        <f>"110.810,00"</f>
        <v>110.810,00</v>
      </c>
      <c r="G1341" s="1" t="str">
        <f>CONCATENATE("19.12.2013.",CHAR(10),"2 godine")</f>
        <v>19.12.2013.
2 godine</v>
      </c>
      <c r="H1341" s="1" t="str">
        <f>CONCATENATE("ZRIN D.O.O., ZAGREB")</f>
        <v>ZRIN D.O.O., ZAGREB</v>
      </c>
      <c r="I1341" s="2"/>
      <c r="J1341" s="1"/>
      <c r="K1341" s="2"/>
    </row>
    <row r="1342" spans="1:11" ht="47.25" x14ac:dyDescent="0.25">
      <c r="A1342" s="1" t="str">
        <f>"568/2013"</f>
        <v>568/2013</v>
      </c>
      <c r="B1342" s="1" t="s">
        <v>14</v>
      </c>
      <c r="C1342" s="1" t="s">
        <v>2578</v>
      </c>
      <c r="D1342" s="1" t="str">
        <f>CONCATENATE("1962-2013-EMV",CHAR(10),"2013/S 002-0077840 od 16.09.2013.")</f>
        <v>1962-2013-EMV
2013/S 002-0077840 od 16.09.2013.</v>
      </c>
      <c r="E1342" s="1" t="s">
        <v>15</v>
      </c>
      <c r="F1342" s="1" t="str">
        <f>"29.000,00"</f>
        <v>29.000,00</v>
      </c>
      <c r="G1342" s="1" t="str">
        <f>CONCATENATE("20.12.2013.",CHAR(10),"12 mjeseci")</f>
        <v>20.12.2013.
12 mjeseci</v>
      </c>
      <c r="H1342" s="1" t="str">
        <f>CONCATENATE("ARHINGTRADE D.O.O., ZAGREB",CHAR(10),"HVAT D.O.O., SAMOBOR")</f>
        <v>ARHINGTRADE D.O.O., ZAGREB
HVAT D.O.O., SAMOBOR</v>
      </c>
      <c r="I1342" s="2"/>
      <c r="J1342" s="1"/>
      <c r="K1342" s="2"/>
    </row>
    <row r="1343" spans="1:11" ht="47.25" x14ac:dyDescent="0.25">
      <c r="A1343" s="1" t="str">
        <f>"569/2013"</f>
        <v>569/2013</v>
      </c>
      <c r="B1343" s="1" t="s">
        <v>14</v>
      </c>
      <c r="C1343" s="1" t="s">
        <v>2579</v>
      </c>
      <c r="D1343" s="1" t="str">
        <f>CONCATENATE("2289-2013-EVV",CHAR(10),"2013/S 002-0079251 od 20.09.2013.")</f>
        <v>2289-2013-EVV
2013/S 002-0079251 od 20.09.2013.</v>
      </c>
      <c r="E1343" s="1" t="s">
        <v>15</v>
      </c>
      <c r="F1343" s="1" t="str">
        <f>"1.616.678,00"</f>
        <v>1.616.678,00</v>
      </c>
      <c r="G1343" s="1" t="str">
        <f>CONCATENATE("20.12.2013.",CHAR(10),"30 dana")</f>
        <v>20.12.2013.
30 dana</v>
      </c>
      <c r="H1343" s="1" t="str">
        <f>CONCATENATE("M.T.F. D.O.O., ZAGREB")</f>
        <v>M.T.F. D.O.O., ZAGREB</v>
      </c>
      <c r="I1343" s="1" t="s">
        <v>482</v>
      </c>
      <c r="J1343" s="1" t="str">
        <f>SUBSTITUTE(SUBSTITUTE(SUBSTITUTE("1,941,437.50",".","-"),",","."),"-",",")</f>
        <v>1.941.437,50</v>
      </c>
      <c r="K1343" s="2"/>
    </row>
    <row r="1344" spans="1:11" ht="110.25" x14ac:dyDescent="0.25">
      <c r="A1344" s="1" t="str">
        <f>"570/2013"</f>
        <v>570/2013</v>
      </c>
      <c r="B1344" s="1" t="s">
        <v>14</v>
      </c>
      <c r="C1344" s="1" t="s">
        <v>2580</v>
      </c>
      <c r="D1344" s="1" t="str">
        <f>CONCATENATE("2295-2013-EMV",CHAR(10),"2013/S 002-0079398 OD 23. 9..2013ispravak 2013/S 014-0084907 11.10.2013.ispravak 2013/S  014-0085221 od 14.10.2013.")</f>
        <v>2295-2013-EMV
2013/S 002-0079398 OD 23. 9..2013ispravak 2013/S 014-0084907 11.10.2013.ispravak 2013/S  014-0085221 od 14.10.2013.</v>
      </c>
      <c r="E1344" s="1" t="s">
        <v>15</v>
      </c>
      <c r="F1344" s="1" t="str">
        <f>"255.514,56"</f>
        <v>255.514,56</v>
      </c>
      <c r="G1344" s="1" t="str">
        <f>CONCATENATE("20.12.2013.",CHAR(10),"30 dana")</f>
        <v>20.12.2013.
30 dana</v>
      </c>
      <c r="H1344" s="1" t="str">
        <f>CONCATENATE("OLYMPUS D.O.O., ZAGREB")</f>
        <v>OLYMPUS D.O.O., ZAGREB</v>
      </c>
      <c r="I1344" s="1" t="s">
        <v>483</v>
      </c>
      <c r="J1344" s="1" t="str">
        <f>SUBSTITUTE(SUBSTITUTE(SUBSTITUTE("319,393.20",".","-"),",","."),"-",",")</f>
        <v>319.393,20</v>
      </c>
      <c r="K1344" s="2"/>
    </row>
    <row r="1345" spans="1:11" ht="78.75" x14ac:dyDescent="0.25">
      <c r="A1345" s="1" t="str">
        <f>"571/2013"</f>
        <v>571/2013</v>
      </c>
      <c r="B1345" s="1" t="s">
        <v>14</v>
      </c>
      <c r="C1345" s="1" t="s">
        <v>2581</v>
      </c>
      <c r="D1345" s="1" t="str">
        <f>CONCATENATE("2296-2013-EMV",CHAR(10),"2013/S 002-0079279 od 20.09.2013 i ispravak broj 2013/S 014-0080979 od 27.09.2013.")</f>
        <v>2296-2013-EMV
2013/S 002-0079279 od 20.09.2013 i ispravak broj 2013/S 014-0080979 od 27.09.2013.</v>
      </c>
      <c r="E1345" s="1" t="s">
        <v>15</v>
      </c>
      <c r="F1345" s="1" t="str">
        <f>"283.474,23"</f>
        <v>283.474,23</v>
      </c>
      <c r="G1345" s="1" t="str">
        <f>CONCATENATE("20.12.2013.",CHAR(10),"30 dana")</f>
        <v>20.12.2013.
30 dana</v>
      </c>
      <c r="H1345" s="1" t="str">
        <f>CONCATENATE("BIOELEKTRONIKA D.O.O., ZAGREB")</f>
        <v>BIOELEKTRONIKA D.O.O., ZAGREB</v>
      </c>
      <c r="I1345" s="1" t="s">
        <v>317</v>
      </c>
      <c r="J1345" s="1" t="str">
        <f>SUBSTITUTE(SUBSTITUTE(SUBSTITUTE("354,342.79",".","-"),",","."),"-",",")</f>
        <v>354.342,79</v>
      </c>
      <c r="K1345" s="2"/>
    </row>
    <row r="1346" spans="1:11" ht="47.25" x14ac:dyDescent="0.25">
      <c r="A1346" s="1" t="str">
        <f>"572/2013"</f>
        <v>572/2013</v>
      </c>
      <c r="B1346" s="1" t="s">
        <v>14</v>
      </c>
      <c r="C1346" s="1" t="s">
        <v>2582</v>
      </c>
      <c r="D1346" s="1" t="str">
        <f>CONCATENATE("1120-2013-EMV",CHAR(10),"2013/S 002-0075940 od 09.09.2013.")</f>
        <v>1120-2013-EMV
2013/S 002-0075940 od 09.09.2013.</v>
      </c>
      <c r="E1346" s="1" t="s">
        <v>15</v>
      </c>
      <c r="F1346" s="1" t="str">
        <f>"721.931,24"</f>
        <v>721.931,24</v>
      </c>
      <c r="G1346" s="1" t="str">
        <f>CONCATENATE("23.12.2013.",CHAR(10),"3 mjeseca")</f>
        <v>23.12.2013.
3 mjeseca</v>
      </c>
      <c r="H1346" s="1" t="str">
        <f>CONCATENATE("HEDOM D.O.O., ZAGREB")</f>
        <v>HEDOM D.O.O., ZAGREB</v>
      </c>
      <c r="I1346" s="2"/>
      <c r="J1346" s="1"/>
      <c r="K1346" s="2"/>
    </row>
    <row r="1347" spans="1:11" ht="47.25" x14ac:dyDescent="0.25">
      <c r="A1347" s="1" t="str">
        <f>"573/2013"</f>
        <v>573/2013</v>
      </c>
      <c r="B1347" s="1" t="s">
        <v>14</v>
      </c>
      <c r="C1347" s="1" t="s">
        <v>2583</v>
      </c>
      <c r="D1347" s="1" t="str">
        <f>CONCATENATE("1245-2013-EMV",CHAR(10),"2013/S 002-0075036 od 04.09.2013.")</f>
        <v>1245-2013-EMV
2013/S 002-0075036 od 04.09.2013.</v>
      </c>
      <c r="E1347" s="1" t="s">
        <v>15</v>
      </c>
      <c r="F1347" s="1" t="str">
        <f>"59.996,50"</f>
        <v>59.996,50</v>
      </c>
      <c r="G1347" s="1" t="str">
        <f>CONCATENATE("23.12.2013.",CHAR(10),"30 dana")</f>
        <v>23.12.2013.
30 dana</v>
      </c>
      <c r="H1347" s="1" t="str">
        <f>CONCATENATE("MONTEL D.O.O., ZAGREB",CHAR(10),"MGV D.O.O., ZAGREB")</f>
        <v>MONTEL D.O.O., ZAGREB
MGV D.O.O., ZAGREB</v>
      </c>
      <c r="I1347" s="2"/>
      <c r="J1347" s="1"/>
      <c r="K1347" s="2"/>
    </row>
    <row r="1348" spans="1:11" ht="94.5" x14ac:dyDescent="0.25">
      <c r="A1348" s="1" t="str">
        <f>"574/2013"</f>
        <v>574/2013</v>
      </c>
      <c r="B1348" s="1" t="s">
        <v>14</v>
      </c>
      <c r="C1348" s="1" t="s">
        <v>2584</v>
      </c>
      <c r="D1348" s="1" t="str">
        <f>CONCATENATE("1979-2013-EMV",CHAR(10),"2013/S 002-0077711 od 16.09.2013.")</f>
        <v>1979-2013-EMV
2013/S 002-0077711 od 16.09.2013.</v>
      </c>
      <c r="E1348" s="1" t="s">
        <v>15</v>
      </c>
      <c r="F1348" s="1" t="str">
        <f>"89.240,00"</f>
        <v>89.240,00</v>
      </c>
      <c r="G1348" s="1" t="str">
        <f>CONCATENATE("23.12.2013.",CHAR(10),"12 mjeseci")</f>
        <v>23.12.2013.
12 mjeseci</v>
      </c>
      <c r="H1348" s="1" t="str">
        <f>CONCATENATE("IPZ-NISKOGRADNJA D.O.O., ZAGREB",CHAR(10),"BEMING D.O.O., ZAGREB")</f>
        <v>IPZ-NISKOGRADNJA D.O.O., ZAGREB
BEMING D.O.O., ZAGREB</v>
      </c>
      <c r="I1348" s="2"/>
      <c r="J1348" s="1"/>
      <c r="K1348" s="2"/>
    </row>
    <row r="1349" spans="1:11" ht="47.25" x14ac:dyDescent="0.25">
      <c r="A1349" s="1" t="str">
        <f>"A-113/2013"</f>
        <v>A-113/2013</v>
      </c>
      <c r="B1349" s="1" t="s">
        <v>11</v>
      </c>
      <c r="C1349" s="1" t="s">
        <v>2585</v>
      </c>
      <c r="D1349" s="1" t="str">
        <f>"436-2012-EMV"</f>
        <v>436-2012-EMV</v>
      </c>
      <c r="E1349" s="2"/>
      <c r="F1349" s="1" t="str">
        <f>"0,00"</f>
        <v>0,00</v>
      </c>
      <c r="G1349" s="1" t="str">
        <f>CONCATENATE("23.12.2013.",CHAR(10),"70 dana")</f>
        <v>23.12.2013.
70 dana</v>
      </c>
      <c r="H1349" s="1" t="str">
        <f>CONCATENATE("JUKIĆ-DAM D.O.O., OTOK (DALMACIJA)")</f>
        <v>JUKIĆ-DAM D.O.O., OTOK (DALMACIJA)</v>
      </c>
      <c r="I1349" s="2"/>
      <c r="J1349" s="1"/>
      <c r="K1349" s="2"/>
    </row>
    <row r="1350" spans="1:11" ht="78.75" x14ac:dyDescent="0.25">
      <c r="A1350" s="1" t="str">
        <f>"575/2013"</f>
        <v>575/2013</v>
      </c>
      <c r="B1350" s="1" t="s">
        <v>14</v>
      </c>
      <c r="C1350" s="1" t="s">
        <v>2586</v>
      </c>
      <c r="D1350" s="1" t="str">
        <f>CONCATENATE("2288-2013-EMV",CHAR(10),"2013/S 002-0078339 od 18.09.2013 i ispravak br. 2013/S 014-0080526 od 26.09.2013.")</f>
        <v>2288-2013-EMV
2013/S 002-0078339 od 18.09.2013 i ispravak br. 2013/S 014-0080526 od 26.09.2013.</v>
      </c>
      <c r="E1350" s="1" t="s">
        <v>15</v>
      </c>
      <c r="F1350" s="1" t="str">
        <f>"158.984,00"</f>
        <v>158.984,00</v>
      </c>
      <c r="G1350" s="1" t="str">
        <f>CONCATENATE("23.12.2013.",CHAR(10),"30 dana")</f>
        <v>23.12.2013.
30 dana</v>
      </c>
      <c r="H1350" s="1" t="str">
        <f>CONCATENATE("MEDI-LAB D.O.O., ZAGREB")</f>
        <v>MEDI-LAB D.O.O., ZAGREB</v>
      </c>
      <c r="I1350" s="1" t="s">
        <v>484</v>
      </c>
      <c r="J1350" s="1" t="str">
        <f>SUBSTITUTE(SUBSTITUTE(SUBSTITUTE("198,730.00",".","-"),",","."),"-",",")</f>
        <v>198.730,00</v>
      </c>
      <c r="K1350" s="2"/>
    </row>
    <row r="1351" spans="1:11" ht="78.75" x14ac:dyDescent="0.25">
      <c r="A1351" s="1" t="str">
        <f>"576/2013"</f>
        <v>576/2013</v>
      </c>
      <c r="B1351" s="1" t="s">
        <v>14</v>
      </c>
      <c r="C1351" s="1" t="s">
        <v>2587</v>
      </c>
      <c r="D1351" s="1" t="str">
        <f>CONCATENATE("2288-2013-EMV",CHAR(10),"2013/S 002-0078339 od 18.09.2013. i ispravak br. 2013/S 014-0080526 od 26.09.2013.")</f>
        <v>2288-2013-EMV
2013/S 002-0078339 od 18.09.2013. i ispravak br. 2013/S 014-0080526 od 26.09.2013.</v>
      </c>
      <c r="E1351" s="1" t="s">
        <v>15</v>
      </c>
      <c r="F1351" s="1" t="str">
        <f>"96.000,00"</f>
        <v>96.000,00</v>
      </c>
      <c r="G1351" s="1" t="str">
        <f>CONCATENATE("23.12.2013.",CHAR(10),"30 dana")</f>
        <v>23.12.2013.
30 dana</v>
      </c>
      <c r="H1351" s="1" t="str">
        <f>CONCATENATE("MIBEX D.O.O., ZAGREB")</f>
        <v>MIBEX D.O.O., ZAGREB</v>
      </c>
      <c r="I1351" s="1" t="s">
        <v>485</v>
      </c>
      <c r="J1351" s="1" t="str">
        <f>SUBSTITUTE(SUBSTITUTE(SUBSTITUTE("120,000.00",".","-"),",","."),"-",",")</f>
        <v>120.000,00</v>
      </c>
      <c r="K1351" s="2"/>
    </row>
    <row r="1352" spans="1:11" ht="78.75" x14ac:dyDescent="0.25">
      <c r="A1352" s="1" t="str">
        <f>"577/2013"</f>
        <v>577/2013</v>
      </c>
      <c r="B1352" s="1" t="s">
        <v>14</v>
      </c>
      <c r="C1352" s="1" t="s">
        <v>2588</v>
      </c>
      <c r="D1352" s="1" t="str">
        <f>CONCATENATE("2296-2013-EMV",CHAR(10),"2013/S 002-0079279 od 20.09.2013 i ispravak br. 2013/S 014-0080979 od 27.09.2013.")</f>
        <v>2296-2013-EMV
2013/S 002-0079279 od 20.09.2013 i ispravak br. 2013/S 014-0080979 od 27.09.2013.</v>
      </c>
      <c r="E1352" s="1" t="s">
        <v>15</v>
      </c>
      <c r="F1352" s="1" t="str">
        <f>"138.900,00"</f>
        <v>138.900,00</v>
      </c>
      <c r="G1352" s="1" t="str">
        <f>CONCATENATE("23.12.2013.",CHAR(10),"30 dana")</f>
        <v>23.12.2013.
30 dana</v>
      </c>
      <c r="H1352" s="1" t="str">
        <f>CONCATENATE("MEDIAL D.O.O., ZAGREB")</f>
        <v>MEDIAL D.O.O., ZAGREB</v>
      </c>
      <c r="I1352" s="1" t="s">
        <v>485</v>
      </c>
      <c r="J1352" s="1" t="str">
        <f>SUBSTITUTE(SUBSTITUTE(SUBSTITUTE("173,625.00",".","-"),",","."),"-",",")</f>
        <v>173.625,00</v>
      </c>
      <c r="K1352" s="2"/>
    </row>
    <row r="1353" spans="1:11" ht="47.25" x14ac:dyDescent="0.25">
      <c r="A1353" s="1" t="str">
        <f>"578/2013"</f>
        <v>578/2013</v>
      </c>
      <c r="B1353" s="1" t="s">
        <v>14</v>
      </c>
      <c r="C1353" s="1" t="s">
        <v>2589</v>
      </c>
      <c r="D1353" s="1" t="str">
        <f>CONCATENATE("2748-2013-EMV",CHAR(10),"2013/S 002-0073644 od 30.08.2013.")</f>
        <v>2748-2013-EMV
2013/S 002-0073644 od 30.08.2013.</v>
      </c>
      <c r="E1353" s="1" t="s">
        <v>15</v>
      </c>
      <c r="F1353" s="1" t="str">
        <f>"97.237,50"</f>
        <v>97.237,50</v>
      </c>
      <c r="G1353" s="1" t="str">
        <f>CONCATENATE("23.12.2013.",CHAR(10),"4 mjeseca")</f>
        <v>23.12.2013.
4 mjeseca</v>
      </c>
      <c r="H1353" s="1" t="str">
        <f>CONCATENATE("INSTITUT IGH D.D., ZAGREB")</f>
        <v>INSTITUT IGH D.D., ZAGREB</v>
      </c>
      <c r="I1353" s="2"/>
      <c r="J1353" s="1"/>
      <c r="K1353" s="2"/>
    </row>
    <row r="1354" spans="1:11" ht="47.25" x14ac:dyDescent="0.25">
      <c r="A1354" s="1" t="str">
        <f>"579/2013"</f>
        <v>579/2013</v>
      </c>
      <c r="B1354" s="1" t="s">
        <v>26</v>
      </c>
      <c r="C1354" s="1" t="s">
        <v>2590</v>
      </c>
      <c r="D1354" s="1" t="str">
        <f>"238-2013-EVV"</f>
        <v>238-2013-EVV</v>
      </c>
      <c r="E1354" s="2"/>
      <c r="F1354" s="1" t="str">
        <f>"1.303.661,72"</f>
        <v>1.303.661,72</v>
      </c>
      <c r="G1354" s="1" t="str">
        <f>CONCATENATE("03.12.2013.",CHAR(10),"12 mjeseci")</f>
        <v>03.12.2013.
12 mjeseci</v>
      </c>
      <c r="H1354" s="1" t="str">
        <f>CONCATENATE("HRVATSKI TELEKOM D.D., ZAGREB")</f>
        <v>HRVATSKI TELEKOM D.D., ZAGREB</v>
      </c>
      <c r="I1354" s="1" t="s">
        <v>478</v>
      </c>
      <c r="J1354" s="1" t="str">
        <f>SUBSTITUTE(SUBSTITUTE(SUBSTITUTE("1,412,703.96",".","-"),",","."),"-",",")</f>
        <v>1.412.703,96</v>
      </c>
      <c r="K1354" s="2"/>
    </row>
    <row r="1355" spans="1:11" ht="47.25" x14ac:dyDescent="0.25">
      <c r="A1355" s="1" t="str">
        <f>"580/2013"</f>
        <v>580/2013</v>
      </c>
      <c r="B1355" s="1" t="s">
        <v>14</v>
      </c>
      <c r="C1355" s="1" t="s">
        <v>2591</v>
      </c>
      <c r="D1355" s="1" t="str">
        <f>CONCATENATE("1641-2013-EMV",CHAR(10),"2013/S 002-0065402 od 23.07.2013.")</f>
        <v>1641-2013-EMV
2013/S 002-0065402 od 23.07.2013.</v>
      </c>
      <c r="E1355" s="1" t="s">
        <v>15</v>
      </c>
      <c r="F1355" s="1" t="str">
        <f>"448.727,09"</f>
        <v>448.727,09</v>
      </c>
      <c r="G1355" s="1" t="str">
        <f>CONCATENATE("23.12.2013.",CHAR(10),"5 mjeseci")</f>
        <v>23.12.2013.
5 mjeseci</v>
      </c>
      <c r="H1355" s="1" t="str">
        <f>CONCATENATE("D&amp;Z D.O.O., ZADAR",CHAR(10),"BESTPROJEKT D.O.O., ZAGREB",CHAR(10),"PRIMA PARS D.O.O., ZAGREB")</f>
        <v>D&amp;Z D.O.O., ZADAR
BESTPROJEKT D.O.O., ZAGREB
PRIMA PARS D.O.O., ZAGREB</v>
      </c>
      <c r="I1355" s="1" t="s">
        <v>199</v>
      </c>
      <c r="J1355" s="1" t="str">
        <f>SUBSTITUTE(SUBSTITUTE(SUBSTITUTE("448,727.09",".","-"),",","."),"-",",")</f>
        <v>448.727,09</v>
      </c>
      <c r="K1355" s="2"/>
    </row>
    <row r="1356" spans="1:11" ht="63" x14ac:dyDescent="0.25">
      <c r="A1356" s="1" t="str">
        <f>"581/2013"</f>
        <v>581/2013</v>
      </c>
      <c r="B1356" s="1" t="s">
        <v>14</v>
      </c>
      <c r="C1356" s="1" t="s">
        <v>2592</v>
      </c>
      <c r="D1356" s="1" t="str">
        <f>CONCATENATE("1959-2013-EMV",CHAR(10),"2013/S 002-0086042 od 16.10.2013.")</f>
        <v>1959-2013-EMV
2013/S 002-0086042 od 16.10.2013.</v>
      </c>
      <c r="E1356" s="1" t="s">
        <v>15</v>
      </c>
      <c r="F1356" s="1" t="str">
        <f>"52.000,00"</f>
        <v>52.000,00</v>
      </c>
      <c r="G1356" s="1" t="str">
        <f>CONCATENATE("23.12.2013.",CHAR(10),"12 mjeseci")</f>
        <v>23.12.2013.
12 mjeseci</v>
      </c>
      <c r="H1356" s="1" t="str">
        <f>CONCATENATE("EKO-PLAN D.O.O., ZAGREB",CHAR(10),"MJERNIK LIMA D.O.O., ZAGREB")</f>
        <v>EKO-PLAN D.O.O., ZAGREB
MJERNIK LIMA D.O.O., ZAGREB</v>
      </c>
      <c r="I1356" s="2"/>
      <c r="J1356" s="1"/>
      <c r="K1356" s="2"/>
    </row>
    <row r="1357" spans="1:11" ht="47.25" x14ac:dyDescent="0.25">
      <c r="A1357" s="1" t="str">
        <f>"582/2013"</f>
        <v>582/2013</v>
      </c>
      <c r="B1357" s="1" t="s">
        <v>14</v>
      </c>
      <c r="C1357" s="1" t="s">
        <v>2593</v>
      </c>
      <c r="D1357" s="1" t="str">
        <f>CONCATENATE("2747-2013-EMV",CHAR(10),"2013/S 002-0082122 od 01.10.2013.")</f>
        <v>2747-2013-EMV
2013/S 002-0082122 od 01.10.2013.</v>
      </c>
      <c r="E1357" s="1" t="s">
        <v>15</v>
      </c>
      <c r="F1357" s="1" t="str">
        <f>"4.322.750,20"</f>
        <v>4.322.750,20</v>
      </c>
      <c r="G1357" s="1" t="str">
        <f>CONCATENATE("23.12.2013.",CHAR(10),"3 mjeseca")</f>
        <v>23.12.2013.
3 mjeseca</v>
      </c>
      <c r="H1357" s="1" t="str">
        <f>CONCATENATE("METALMINERAL-KAMEN D.O.O., SVETA NEDJELJA-KERESTINEC",CHAR(10),"TEHNIKA D.D., ZAGREB")</f>
        <v>METALMINERAL-KAMEN D.O.O., SVETA NEDJELJA-KERESTINEC
TEHNIKA D.D., ZAGREB</v>
      </c>
      <c r="I1357" s="2"/>
      <c r="J1357" s="1"/>
      <c r="K1357" s="2"/>
    </row>
    <row r="1358" spans="1:11" ht="47.25" x14ac:dyDescent="0.25">
      <c r="A1358" s="1" t="str">
        <f>"583/2013"</f>
        <v>583/2013</v>
      </c>
      <c r="B1358" s="1" t="s">
        <v>26</v>
      </c>
      <c r="C1358" s="1" t="s">
        <v>2594</v>
      </c>
      <c r="D1358" s="1" t="str">
        <f>"135-2012-EVV"</f>
        <v>135-2012-EVV</v>
      </c>
      <c r="E1358" s="2"/>
      <c r="F1358" s="1" t="str">
        <f>"758.022,75"</f>
        <v>758.022,75</v>
      </c>
      <c r="G1358" s="1" t="str">
        <f>CONCATENATE("27.12.2013.",CHAR(10),"12 mjeseci")</f>
        <v>27.12.2013.
12 mjeseci</v>
      </c>
      <c r="H1358" s="1" t="str">
        <f>CONCATENATE("RETEL D.O.O., ZAGREB")</f>
        <v>RETEL D.O.O., ZAGREB</v>
      </c>
      <c r="I1358" s="1" t="s">
        <v>270</v>
      </c>
      <c r="J1358" s="1" t="str">
        <f>SUBSTITUTE(SUBSTITUTE(SUBSTITUTE("852,918.28",".","-"),",","."),"-",",")</f>
        <v>852.918,28</v>
      </c>
      <c r="K1358" s="2"/>
    </row>
    <row r="1359" spans="1:11" ht="47.25" x14ac:dyDescent="0.25">
      <c r="A1359" s="1" t="str">
        <f>"584/2013"</f>
        <v>584/2013</v>
      </c>
      <c r="B1359" s="1" t="s">
        <v>14</v>
      </c>
      <c r="C1359" s="1" t="s">
        <v>2595</v>
      </c>
      <c r="D1359" s="1" t="str">
        <f>"2857-2013-EMV"</f>
        <v>2857-2013-EMV</v>
      </c>
      <c r="E1359" s="1" t="s">
        <v>12</v>
      </c>
      <c r="F1359" s="1" t="str">
        <f>"4.658.344,11"</f>
        <v>4.658.344,11</v>
      </c>
      <c r="G1359" s="1" t="str">
        <f>CONCATENATE("30.12.2013.",CHAR(10),"6 mjeseci")</f>
        <v>30.12.2013.
6 mjeseci</v>
      </c>
      <c r="H1359" s="1" t="str">
        <f>CONCATENATE("HM-PATRIA D.O.O., ZAGREB")</f>
        <v>HM-PATRIA D.O.O., ZAGREB</v>
      </c>
      <c r="I1359" s="2"/>
      <c r="J1359" s="1"/>
      <c r="K1359" s="2"/>
    </row>
    <row r="1360" spans="1:11" ht="47.25" x14ac:dyDescent="0.25">
      <c r="A1360" s="1" t="str">
        <f>"585/2013"</f>
        <v>585/2013</v>
      </c>
      <c r="B1360" s="1" t="s">
        <v>14</v>
      </c>
      <c r="C1360" s="1" t="s">
        <v>2596</v>
      </c>
      <c r="D1360" s="1" t="str">
        <f>CONCATENATE("2269-2013-EMV",CHAR(10),"2013/S 002-0058147 od 01.07.2013.")</f>
        <v>2269-2013-EMV
2013/S 002-0058147 od 01.07.2013.</v>
      </c>
      <c r="E1360" s="1" t="s">
        <v>15</v>
      </c>
      <c r="F1360" s="1" t="str">
        <f>"971.900,00"</f>
        <v>971.900,00</v>
      </c>
      <c r="G1360" s="1" t="str">
        <f>CONCATENATE("30.12.2013.",CHAR(10),"12 mjeseci")</f>
        <v>30.12.2013.
12 mjeseci</v>
      </c>
      <c r="H1360" s="1" t="str">
        <f>CONCATENATE("FLAMMIFER  D.O.O.,")</f>
        <v>FLAMMIFER  D.O.O.,</v>
      </c>
      <c r="I1360" s="1" t="s">
        <v>486</v>
      </c>
      <c r="J1360" s="1" t="str">
        <f>SUBSTITUTE(SUBSTITUTE(SUBSTITUTE("1,214,875.00",".","-"),",","."),"-",",")</f>
        <v>1.214.875,00</v>
      </c>
      <c r="K1360" s="2"/>
    </row>
    <row r="1361" spans="1:11" ht="78.75" x14ac:dyDescent="0.25">
      <c r="A1361" s="1" t="str">
        <f>"586/2013"</f>
        <v>586/2013</v>
      </c>
      <c r="B1361" s="1" t="s">
        <v>14</v>
      </c>
      <c r="C1361" s="1" t="s">
        <v>2597</v>
      </c>
      <c r="D1361" s="1" t="str">
        <f>CONCATENATE("1960-2013-EMV",CHAR(10),"2013/S 002-0077077 od 12.09.2013.")</f>
        <v>1960-2013-EMV
2013/S 002-0077077 od 12.09.2013.</v>
      </c>
      <c r="E1361" s="1" t="s">
        <v>15</v>
      </c>
      <c r="F1361" s="1" t="str">
        <f>"44.400,00"</f>
        <v>44.400,00</v>
      </c>
      <c r="G1361" s="1" t="str">
        <f>CONCATENATE("31.12.2013.",CHAR(10),"12 mjeseci")</f>
        <v>31.12.2013.
12 mjeseci</v>
      </c>
      <c r="H1361" s="1" t="str">
        <f>CONCATENATE("BOMAT-PROJEKT D.O.O., ZAGREB")</f>
        <v>BOMAT-PROJEKT D.O.O., ZAGREB</v>
      </c>
      <c r="I1361" s="2"/>
      <c r="J1361" s="1"/>
      <c r="K1361" s="2"/>
    </row>
    <row r="1362" spans="1:11" ht="47.25" x14ac:dyDescent="0.25">
      <c r="A1362" s="1" t="str">
        <f>"A-114/2013"</f>
        <v>A-114/2013</v>
      </c>
      <c r="B1362" s="1" t="s">
        <v>11</v>
      </c>
      <c r="C1362" s="1" t="s">
        <v>2598</v>
      </c>
      <c r="D1362" s="1" t="str">
        <f>"1260-2013-EMV"</f>
        <v>1260-2013-EMV</v>
      </c>
      <c r="E1362" s="2"/>
      <c r="F1362" s="1" t="str">
        <f>"0,00"</f>
        <v>0,00</v>
      </c>
      <c r="G1362" s="1" t="str">
        <f>CONCATENATE("18.12.2013.",CHAR(10),"do 30.12.2013")</f>
        <v>18.12.2013.
do 30.12.2013</v>
      </c>
      <c r="H1362" s="1" t="str">
        <f>CONCATENATE("M. SOLDO D.O.O., ZAGREB",CHAR(10),"GEOGIS D.O.O., ZAGREB",CHAR(10),"HEDOM D.O.O., ZAGREB")</f>
        <v>M. SOLDO D.O.O., ZAGREB
GEOGIS D.O.O., ZAGREB
HEDOM D.O.O., ZAGREB</v>
      </c>
      <c r="I1362" s="2"/>
      <c r="J1362" s="1"/>
      <c r="K1362" s="2"/>
    </row>
    <row r="1363" spans="1:11" ht="31.5" x14ac:dyDescent="0.25">
      <c r="A1363" s="1" t="str">
        <f>"A-115/2013"</f>
        <v>A-115/2013</v>
      </c>
      <c r="B1363" s="1" t="s">
        <v>11</v>
      </c>
      <c r="C1363" s="1" t="s">
        <v>2599</v>
      </c>
      <c r="D1363" s="1" t="str">
        <f>"740-2012-EMV"</f>
        <v>740-2012-EMV</v>
      </c>
      <c r="E1363" s="2"/>
      <c r="F1363" s="1" t="str">
        <f>"0,00"</f>
        <v>0,00</v>
      </c>
      <c r="G1363" s="1" t="str">
        <f>CONCATENATE("31.12.2013.",CHAR(10),"do 01.05.2014.")</f>
        <v>31.12.2013.
do 01.05.2014.</v>
      </c>
      <c r="H1363" s="1" t="str">
        <f>CONCATENATE("TA-GRAD D.O.O., ZAGREB",CHAR(10),"TERRACOTTA D.O.O., ZAGREB")</f>
        <v>TA-GRAD D.O.O., ZAGREB
TERRACOTTA D.O.O., ZAGREB</v>
      </c>
      <c r="I1363" s="2"/>
      <c r="J1363" s="1"/>
      <c r="K1363" s="2"/>
    </row>
    <row r="1364" spans="1:11" ht="141.75" x14ac:dyDescent="0.25">
      <c r="A1364" s="1" t="str">
        <f>"588/2013"</f>
        <v>588/2013</v>
      </c>
      <c r="B1364" s="1" t="s">
        <v>14</v>
      </c>
      <c r="C1364" s="1" t="s">
        <v>2600</v>
      </c>
      <c r="D1364" s="1" t="str">
        <f>CONCATENATE("2240-2013-EMV",CHAR(10),"2013/S 002-0081451 od 30.09.2013.")</f>
        <v>2240-2013-EMV
2013/S 002-0081451 od 30.09.2013.</v>
      </c>
      <c r="E1364" s="1" t="s">
        <v>15</v>
      </c>
      <c r="F1364" s="1" t="str">
        <f>"56.100,00"</f>
        <v>56.100,00</v>
      </c>
      <c r="G1364" s="1" t="str">
        <f>CONCATENATE("31.12.2013.",CHAR(10),"12 mjeseci")</f>
        <v>31.12.2013.
12 mjeseci</v>
      </c>
      <c r="H1364" s="1" t="str">
        <f>CONCATENATE("IVNE GRAĐEVINA D.O.O., ZAGREB")</f>
        <v>IVNE GRAĐEVINA D.O.O., ZAGREB</v>
      </c>
      <c r="I1364" s="2"/>
      <c r="J1364" s="1"/>
      <c r="K1364" s="2"/>
    </row>
    <row r="1365" spans="1:11" ht="47.25" x14ac:dyDescent="0.25">
      <c r="A1365" s="1" t="str">
        <f>"589/2013"</f>
        <v>589/2013</v>
      </c>
      <c r="B1365" s="1" t="s">
        <v>14</v>
      </c>
      <c r="C1365" s="1" t="s">
        <v>2601</v>
      </c>
      <c r="D1365" s="1" t="str">
        <f>CONCATENATE("1642-2013-EMV",CHAR(10),"2013/S 002-0069192 od 07.08.2013.")</f>
        <v>1642-2013-EMV
2013/S 002-0069192 od 07.08.2013.</v>
      </c>
      <c r="E1365" s="1" t="s">
        <v>15</v>
      </c>
      <c r="F1365" s="1" t="str">
        <f>"439.566,00"</f>
        <v>439.566,00</v>
      </c>
      <c r="G1365" s="1" t="str">
        <f>CONCATENATE("31.12.2013.",CHAR(10),"5 mjeseci")</f>
        <v>31.12.2013.
5 mjeseci</v>
      </c>
      <c r="H1365" s="1" t="str">
        <f>CONCATENATE("D&amp;Z D.O.O., ZADAR",CHAR(10),"BESTPROJEKT D.O.O., ZAGREB",CHAR(10),"PRIMA PARS D.O.O., ZAGREB")</f>
        <v>D&amp;Z D.O.O., ZADAR
BESTPROJEKT D.O.O., ZAGREB
PRIMA PARS D.O.O., ZAGREB</v>
      </c>
      <c r="I1365" s="1" t="s">
        <v>199</v>
      </c>
      <c r="J1365" s="1" t="str">
        <f>SUBSTITUTE(SUBSTITUTE(SUBSTITUTE("439,566.00",".","-"),",","."),"-",",")</f>
        <v>439.566,00</v>
      </c>
      <c r="K1365" s="2"/>
    </row>
    <row r="1366" spans="1:11" ht="47.25" x14ac:dyDescent="0.25">
      <c r="A1366" s="1" t="str">
        <f>"590/2013"</f>
        <v>590/2013</v>
      </c>
      <c r="B1366" s="1" t="s">
        <v>26</v>
      </c>
      <c r="C1366" s="1" t="s">
        <v>2602</v>
      </c>
      <c r="D1366" s="1" t="str">
        <f>"196-2013-EMV"</f>
        <v>196-2013-EMV</v>
      </c>
      <c r="E1366" s="2"/>
      <c r="F1366" s="1" t="str">
        <f>"73.057,00"</f>
        <v>73.057,00</v>
      </c>
      <c r="G1366" s="1" t="str">
        <f>CONCATENATE("31.12.2013.",CHAR(10),"1 godina")</f>
        <v>31.12.2013.
1 godina</v>
      </c>
      <c r="H1366" s="1" t="str">
        <f>CONCATENATE("OBRT ZA PROIZVODNJU I POSTAVLJANJE ROLETA RO-LO, ZAGREB")</f>
        <v>OBRT ZA PROIZVODNJU I POSTAVLJANJE ROLETA RO-LO, ZAGREB</v>
      </c>
      <c r="I1366" s="1" t="s">
        <v>340</v>
      </c>
      <c r="J1366" s="1" t="str">
        <f>SUBSTITUTE(SUBSTITUTE(SUBSTITUTE("91,312.29",".","-"),",","."),"-",",")</f>
        <v>91.312,29</v>
      </c>
      <c r="K1366" s="2"/>
    </row>
    <row r="1367" spans="1:11" ht="47.25" x14ac:dyDescent="0.25">
      <c r="A1367" s="1" t="str">
        <f>"591/2013"</f>
        <v>591/2013</v>
      </c>
      <c r="B1367" s="1" t="s">
        <v>14</v>
      </c>
      <c r="C1367" s="1" t="s">
        <v>2603</v>
      </c>
      <c r="D1367" s="1" t="str">
        <f>CONCATENATE("1996-2013-EMV",CHAR(10),"2013/S 002-0084398 od 10.10.2013.")</f>
        <v>1996-2013-EMV
2013/S 002-0084398 od 10.10.2013.</v>
      </c>
      <c r="E1367" s="1" t="s">
        <v>15</v>
      </c>
      <c r="F1367" s="1" t="str">
        <f>"109.941,50"</f>
        <v>109.941,50</v>
      </c>
      <c r="G1367" s="1" t="str">
        <f>CONCATENATE("31.12.2013.",CHAR(10),"3 mjeseca")</f>
        <v>31.12.2013.
3 mjeseca</v>
      </c>
      <c r="H1367" s="1" t="str">
        <f>CONCATENATE("PUTAK GRADNJA D.O.O., ZAGREB",CHAR(10),"C.I.A.K. D.O.O., ZAGREB")</f>
        <v>PUTAK GRADNJA D.O.O., ZAGREB
C.I.A.K. D.O.O., ZAGREB</v>
      </c>
      <c r="I1367" s="1" t="s">
        <v>458</v>
      </c>
      <c r="J1367" s="1" t="str">
        <f>SUBSTITUTE(SUBSTITUTE(SUBSTITUTE("137,341.88",".","-"),",","."),"-",",")</f>
        <v>137.341,88</v>
      </c>
      <c r="K1367" s="2"/>
    </row>
    <row r="1368" spans="1:11" ht="78.75" x14ac:dyDescent="0.25">
      <c r="A1368" s="1" t="str">
        <f>"592/2013"</f>
        <v>592/2013</v>
      </c>
      <c r="B1368" s="1" t="s">
        <v>14</v>
      </c>
      <c r="C1368" s="1" t="s">
        <v>2604</v>
      </c>
      <c r="D1368" s="1" t="str">
        <f>CONCATENATE("2291-2013-EMV",CHAR(10),"2013/S 002-0079413 od 23.09.2013 i ispravak br. 2013/S 014-0085021 od 14.10.2013.")</f>
        <v>2291-2013-EMV
2013/S 002-0079413 od 23.09.2013 i ispravak br. 2013/S 014-0085021 od 14.10.2013.</v>
      </c>
      <c r="E1368" s="1" t="s">
        <v>15</v>
      </c>
      <c r="F1368" s="1" t="str">
        <f>"366.330,00"</f>
        <v>366.330,00</v>
      </c>
      <c r="G1368" s="1" t="str">
        <f>CONCATENATE("31.12.2013.",CHAR(10),"30 dana")</f>
        <v>31.12.2013.
30 dana</v>
      </c>
      <c r="H1368" s="1" t="str">
        <f>CONCATENATE("PANON TRADE D.O.O., SVETA NEDJELJA")</f>
        <v>PANON TRADE D.O.O., SVETA NEDJELJA</v>
      </c>
      <c r="I1368" s="1" t="s">
        <v>367</v>
      </c>
      <c r="J1368" s="1" t="str">
        <f>SUBSTITUTE(SUBSTITUTE(SUBSTITUTE("457,912.50",".","-"),",","."),"-",",")</f>
        <v>457.912,50</v>
      </c>
      <c r="K1368" s="2"/>
    </row>
    <row r="1369" spans="1:11" ht="63" x14ac:dyDescent="0.25">
      <c r="A1369" s="1" t="str">
        <f>"1/2014"</f>
        <v>1/2014</v>
      </c>
      <c r="B1369" s="1" t="s">
        <v>14</v>
      </c>
      <c r="C1369" s="1" t="s">
        <v>2605</v>
      </c>
      <c r="D1369" s="1" t="str">
        <f>CONCATENATE("2749-2013-EMV",CHAR(10),"2013/S 002-0073074 od 28.08.2013.")</f>
        <v>2749-2013-EMV
2013/S 002-0073074 od 28.08.2013.</v>
      </c>
      <c r="E1369" s="1" t="s">
        <v>15</v>
      </c>
      <c r="F1369" s="1" t="str">
        <f>"9.900,00"</f>
        <v>9.900,00</v>
      </c>
      <c r="G1369" s="1" t="str">
        <f>CONCATENATE("02.01.2014.",CHAR(10),"do primopredaje izvedenog objekta i okončanja ugovora izvođača radova")</f>
        <v>02.01.2014.
do primopredaje izvedenog objekta i okončanja ugovora izvođača radova</v>
      </c>
      <c r="H1369" s="1" t="str">
        <f>CONCATENATE("INTERKONZALTING D.O.O., ZAGREB")</f>
        <v>INTERKONZALTING D.O.O., ZAGREB</v>
      </c>
      <c r="I1369" s="2"/>
      <c r="J1369" s="1"/>
      <c r="K1369" s="2"/>
    </row>
    <row r="1370" spans="1:11" ht="47.25" x14ac:dyDescent="0.25">
      <c r="A1370" s="1" t="str">
        <f>"A-116/2013"</f>
        <v>A-116/2013</v>
      </c>
      <c r="B1370" s="1" t="s">
        <v>11</v>
      </c>
      <c r="C1370" s="1" t="s">
        <v>2606</v>
      </c>
      <c r="D1370" s="1" t="str">
        <f>"1382-2013-EMV"</f>
        <v>1382-2013-EMV</v>
      </c>
      <c r="E1370" s="2"/>
      <c r="F1370" s="1" t="str">
        <f>"0,00"</f>
        <v>0,00</v>
      </c>
      <c r="G1370" s="1" t="str">
        <f>CONCATENATE("18.12.2013.",CHAR(10),"do 31.12.2013.")</f>
        <v>18.12.2013.
do 31.12.2013.</v>
      </c>
      <c r="H1370" s="1" t="str">
        <f>CONCATENATE("P.G.P. D.O.O., ZAGREB",CHAR(10),"GEO MEDIA D.O.O., ZAGREB-DUBRAVA")</f>
        <v>P.G.P. D.O.O., ZAGREB
GEO MEDIA D.O.O., ZAGREB-DUBRAVA</v>
      </c>
      <c r="I1370" s="2"/>
      <c r="J1370" s="1"/>
      <c r="K1370" s="2"/>
    </row>
    <row r="1371" spans="1:11" ht="94.5" x14ac:dyDescent="0.25">
      <c r="A1371" s="1" t="str">
        <f>"2/2014"</f>
        <v>2/2014</v>
      </c>
      <c r="B1371" s="1" t="s">
        <v>14</v>
      </c>
      <c r="C1371" s="1" t="s">
        <v>2607</v>
      </c>
      <c r="D1371" s="1" t="str">
        <f>CONCATENATE("2239-2013-EMV",CHAR(10),"2013/S 002-0081228 od 27.09.2013.")</f>
        <v>2239-2013-EMV
2013/S 002-0081228 od 27.09.2013.</v>
      </c>
      <c r="E1371" s="1" t="s">
        <v>15</v>
      </c>
      <c r="F1371" s="1" t="str">
        <f>"69.526,00"</f>
        <v>69.526,00</v>
      </c>
      <c r="G1371" s="1" t="str">
        <f>CONCATENATE("07.01.2014.",CHAR(10),"12 mjeseci")</f>
        <v>07.01.2014.
12 mjeseci</v>
      </c>
      <c r="H1371" s="1" t="str">
        <f>CONCATENATE("1. Zajednica ponuditelja: ",CHAR(10),"    VERIDON D.O.O., ZAGREB-SUSEDGRAD",CHAR(10),"    AREA ARTE D.O.O., ZAGREB",CHAR(10),"    GRAĐEVINSKI RADOVI D.O.O., ZAGREB")</f>
        <v>1. Zajednica ponuditelja: 
    VERIDON D.O.O., ZAGREB-SUSEDGRAD
    AREA ARTE D.O.O., ZAGREB
    GRAĐEVINSKI RADOVI D.O.O., ZAGREB</v>
      </c>
      <c r="I1371" s="2"/>
      <c r="J1371" s="1"/>
      <c r="K1371" s="2"/>
    </row>
    <row r="1372" spans="1:11" ht="47.25" x14ac:dyDescent="0.25">
      <c r="A1372" s="1" t="str">
        <f>"3/2014"</f>
        <v>3/2014</v>
      </c>
      <c r="B1372" s="1" t="s">
        <v>14</v>
      </c>
      <c r="C1372" s="1" t="s">
        <v>2608</v>
      </c>
      <c r="D1372" s="1" t="str">
        <f>CONCATENATE("2761-2013-EMV",CHAR(10),"2013/S 002-0078700 od 19.09.2013.")</f>
        <v>2761-2013-EMV
2013/S 002-0078700 od 19.09.2013.</v>
      </c>
      <c r="E1372" s="1" t="s">
        <v>15</v>
      </c>
      <c r="F1372" s="1" t="str">
        <f>"363.633,00"</f>
        <v>363.633,00</v>
      </c>
      <c r="G1372" s="1" t="str">
        <f>CONCATENATE("07.01.2014.",CHAR(10),"12 mjeseci")</f>
        <v>07.01.2014.
12 mjeseci</v>
      </c>
      <c r="H1372" s="1" t="str">
        <f>CONCATENATE("MONTEL D.O.O., ZAGREB")</f>
        <v>MONTEL D.O.O., ZAGREB</v>
      </c>
      <c r="I1372" s="2"/>
      <c r="J1372" s="1"/>
      <c r="K1372" s="2"/>
    </row>
    <row r="1373" spans="1:11" ht="47.25" x14ac:dyDescent="0.25">
      <c r="A1373" s="1" t="str">
        <f>"4/2014"</f>
        <v>4/2014</v>
      </c>
      <c r="B1373" s="1" t="s">
        <v>14</v>
      </c>
      <c r="C1373" s="1" t="s">
        <v>2609</v>
      </c>
      <c r="D1373" s="1" t="str">
        <f>CONCATENATE("2731-2013-EMV",CHAR(10),"2013/S 002-0087901 od 22.10.2013.")</f>
        <v>2731-2013-EMV
2013/S 002-0087901 od 22.10.2013.</v>
      </c>
      <c r="E1373" s="1" t="s">
        <v>15</v>
      </c>
      <c r="F1373" s="1" t="str">
        <f>"2.847.447,52"</f>
        <v>2.847.447,52</v>
      </c>
      <c r="G1373" s="1" t="str">
        <f>CONCATENATE("07.01.2014.",CHAR(10),"6 mjeseci")</f>
        <v>07.01.2014.
6 mjeseci</v>
      </c>
      <c r="H1373" s="1" t="str">
        <f>CONCATENATE("MAXMAR SPORT D.O.O., JASTREBARSKO")</f>
        <v>MAXMAR SPORT D.O.O., JASTREBARSKO</v>
      </c>
      <c r="I1373" s="2"/>
      <c r="J1373" s="1"/>
      <c r="K1373" s="2"/>
    </row>
    <row r="1374" spans="1:11" ht="47.25" x14ac:dyDescent="0.25">
      <c r="A1374" s="1" t="str">
        <f>"5/2014"</f>
        <v>5/2014</v>
      </c>
      <c r="B1374" s="1" t="s">
        <v>14</v>
      </c>
      <c r="C1374" s="1" t="s">
        <v>2610</v>
      </c>
      <c r="D1374" s="1" t="str">
        <f>CONCATENATE("1403-2013-EMV",CHAR(10),"2013/S 002-0083178 od 04.10.2013.")</f>
        <v>1403-2013-EMV
2013/S 002-0083178 od 04.10.2013.</v>
      </c>
      <c r="E1374" s="1" t="s">
        <v>15</v>
      </c>
      <c r="F1374" s="1" t="str">
        <f>"686.326,50"</f>
        <v>686.326,50</v>
      </c>
      <c r="G1374" s="1" t="str">
        <f>CONCATENATE("07.01.2014.",CHAR(10),"60 dana")</f>
        <v>07.01.2014.
60 dana</v>
      </c>
      <c r="H1374" s="1" t="str">
        <f>CONCATENATE("P.G.P. D.O.O., ZAGREB")</f>
        <v>P.G.P. D.O.O., ZAGREB</v>
      </c>
      <c r="I1374" s="2"/>
      <c r="J1374" s="1"/>
      <c r="K1374" s="2"/>
    </row>
    <row r="1375" spans="1:11" ht="47.25" x14ac:dyDescent="0.25">
      <c r="A1375" s="1" t="str">
        <f>"6/2014"</f>
        <v>6/2014</v>
      </c>
      <c r="B1375" s="1" t="s">
        <v>14</v>
      </c>
      <c r="C1375" s="1" t="s">
        <v>2611</v>
      </c>
      <c r="D1375" s="1" t="str">
        <f>CONCATENATE("2816-2013-EMV",CHAR(10),"2013/S 002-0094033 od 14.11.2013.")</f>
        <v>2816-2013-EMV
2013/S 002-0094033 od 14.11.2013.</v>
      </c>
      <c r="E1375" s="1" t="s">
        <v>15</v>
      </c>
      <c r="F1375" s="1" t="str">
        <f>"356.800,00"</f>
        <v>356.800,00</v>
      </c>
      <c r="G1375" s="1" t="str">
        <f>CONCATENATE("07.01.2014.",CHAR(10),"2 mjeseca")</f>
        <v>07.01.2014.
2 mjeseca</v>
      </c>
      <c r="H1375" s="1" t="str">
        <f>CONCATENATE("LUVETI D.O.O., ZAGREB")</f>
        <v>LUVETI D.O.O., ZAGREB</v>
      </c>
      <c r="I1375" s="1" t="s">
        <v>327</v>
      </c>
      <c r="J1375" s="1" t="str">
        <f>SUBSTITUTE(SUBSTITUTE(SUBSTITUTE("446,000.00",".","-"),",","."),"-",",")</f>
        <v>446.000,00</v>
      </c>
      <c r="K1375" s="2"/>
    </row>
    <row r="1376" spans="1:11" ht="47.25" x14ac:dyDescent="0.25">
      <c r="A1376" s="1" t="str">
        <f>"7/2014"</f>
        <v>7/2014</v>
      </c>
      <c r="B1376" s="1" t="s">
        <v>14</v>
      </c>
      <c r="C1376" s="1" t="s">
        <v>2612</v>
      </c>
      <c r="D1376" s="1" t="str">
        <f>CONCATENATE("2753-2013-EMV",CHAR(10),"2013/S 002-0076629 od 11.09.2013.")</f>
        <v>2753-2013-EMV
2013/S 002-0076629 od 11.09.2013.</v>
      </c>
      <c r="E1376" s="1" t="s">
        <v>15</v>
      </c>
      <c r="F1376" s="1" t="str">
        <f>"111.379,00"</f>
        <v>111.379,00</v>
      </c>
      <c r="G1376" s="1" t="str">
        <f>CONCATENATE("07.01.2014.",CHAR(10),"30 dana")</f>
        <v>07.01.2014.
30 dana</v>
      </c>
      <c r="H1376" s="1" t="str">
        <f>CONCATENATE("1. Zajednica ponuditelja: ",CHAR(10),"    MONTEL D.O.O., ZAGREB",CHAR(10),"    MGV D.O.O., ZAGREB")</f>
        <v>1. Zajednica ponuditelja: 
    MONTEL D.O.O., ZAGREB
    MGV D.O.O., ZAGREB</v>
      </c>
      <c r="I1376" s="2"/>
      <c r="J1376" s="1"/>
      <c r="K1376" s="2"/>
    </row>
    <row r="1377" spans="1:11" ht="47.25" x14ac:dyDescent="0.25">
      <c r="A1377" s="1" t="str">
        <f>"8/2014"</f>
        <v>8/2014</v>
      </c>
      <c r="B1377" s="1" t="s">
        <v>14</v>
      </c>
      <c r="C1377" s="1" t="s">
        <v>2613</v>
      </c>
      <c r="D1377" s="1" t="str">
        <f>CONCATENATE("2851-2013-EMV",CHAR(10),"2013/S 002-0087739 od 22.10.2013.")</f>
        <v>2851-2013-EMV
2013/S 002-0087739 od 22.10.2013.</v>
      </c>
      <c r="E1377" s="1" t="s">
        <v>15</v>
      </c>
      <c r="F1377" s="1" t="str">
        <f>"245.240,00"</f>
        <v>245.240,00</v>
      </c>
      <c r="G1377" s="1" t="str">
        <f>CONCATENATE("08.01.2014.",CHAR(10),"60 dana")</f>
        <v>08.01.2014.
60 dana</v>
      </c>
      <c r="H1377" s="1" t="str">
        <f>CONCATENATE("MONTEL D.O.O., ZAGREB")</f>
        <v>MONTEL D.O.O., ZAGREB</v>
      </c>
      <c r="I1377" s="1" t="s">
        <v>487</v>
      </c>
      <c r="J1377" s="1" t="str">
        <f>SUBSTITUTE(SUBSTITUTE(SUBSTITUTE("300,362.50",".","-"),",","."),"-",",")</f>
        <v>300.362,50</v>
      </c>
      <c r="K1377" s="2"/>
    </row>
    <row r="1378" spans="1:11" ht="47.25" x14ac:dyDescent="0.25">
      <c r="A1378" s="1" t="str">
        <f>"9/2014"</f>
        <v>9/2014</v>
      </c>
      <c r="B1378" s="1" t="s">
        <v>26</v>
      </c>
      <c r="C1378" s="1" t="s">
        <v>2614</v>
      </c>
      <c r="D1378" s="1" t="str">
        <f>"235-2013-EVV"</f>
        <v>235-2013-EVV</v>
      </c>
      <c r="E1378" s="2"/>
      <c r="F1378" s="1" t="str">
        <f>"9.839.999,94"</f>
        <v>9.839.999,94</v>
      </c>
      <c r="G1378" s="1" t="str">
        <f>CONCATENATE("02.01.2014.",CHAR(10),"31. prosinca 2014.")</f>
        <v>02.01.2014.
31. prosinca 2014.</v>
      </c>
      <c r="H1378" s="1" t="str">
        <f>CONCATENATE("APIS IT D.O.O., ZAGREB")</f>
        <v>APIS IT D.O.O., ZAGREB</v>
      </c>
      <c r="I1378" s="1" t="s">
        <v>270</v>
      </c>
      <c r="J1378" s="1" t="str">
        <f>SUBSTITUTE(SUBSTITUTE(SUBSTITUTE("12,299,999.93",".","-"),",","."),"-",",")</f>
        <v>12.299.999,93</v>
      </c>
      <c r="K1378" s="2"/>
    </row>
    <row r="1379" spans="1:11" ht="47.25" x14ac:dyDescent="0.25">
      <c r="A1379" s="1" t="str">
        <f>"593/2013"</f>
        <v>593/2013</v>
      </c>
      <c r="B1379" s="1" t="s">
        <v>26</v>
      </c>
      <c r="C1379" s="1" t="s">
        <v>2615</v>
      </c>
      <c r="D1379" s="1" t="str">
        <f>"235-2013-EVV"</f>
        <v>235-2013-EVV</v>
      </c>
      <c r="E1379" s="2"/>
      <c r="F1379" s="1" t="str">
        <f>"1.677.840,00"</f>
        <v>1.677.840,00</v>
      </c>
      <c r="G1379" s="1" t="str">
        <f>CONCATENATE("30.12.2013.",CHAR(10),"do 31.prosinca 2013")</f>
        <v>30.12.2013.
do 31.prosinca 2013</v>
      </c>
      <c r="H1379" s="1" t="str">
        <f>CONCATENATE("APIS IT D.O.O., ZAGREB")</f>
        <v>APIS IT D.O.O., ZAGREB</v>
      </c>
      <c r="I1379" s="1" t="s">
        <v>203</v>
      </c>
      <c r="J1379" s="1" t="str">
        <f>SUBSTITUTE(SUBSTITUTE(SUBSTITUTE("2,097,300.00",".","-"),",","."),"-",",")</f>
        <v>2.097.300,00</v>
      </c>
      <c r="K1379" s="2"/>
    </row>
    <row r="1380" spans="1:11" ht="47.25" x14ac:dyDescent="0.25">
      <c r="A1380" s="1" t="str">
        <f>"10/2014"</f>
        <v>10/2014</v>
      </c>
      <c r="B1380" s="1" t="s">
        <v>14</v>
      </c>
      <c r="C1380" s="1" t="s">
        <v>2616</v>
      </c>
      <c r="D1380" s="1" t="str">
        <f>CONCATENATE("2872-2013-EMV",CHAR(10),"2013/S 015-0103877 od 27.12.2013.")</f>
        <v>2872-2013-EMV
2013/S 015-0103877 od 27.12.2013.</v>
      </c>
      <c r="E1380" s="1" t="s">
        <v>12</v>
      </c>
      <c r="F1380" s="1" t="str">
        <f>"198.010,00"</f>
        <v>198.010,00</v>
      </c>
      <c r="G1380" s="1" t="str">
        <f>CONCATENATE("09.01.2014.",CHAR(10),"30 dana")</f>
        <v>09.01.2014.
30 dana</v>
      </c>
      <c r="H1380" s="1" t="str">
        <f>CONCATENATE("FOTON PROMET D.O.O., SESVETE")</f>
        <v>FOTON PROMET D.O.O., SESVETE</v>
      </c>
      <c r="I1380" s="1" t="s">
        <v>484</v>
      </c>
      <c r="J1380" s="1" t="str">
        <f>SUBSTITUTE(SUBSTITUTE(SUBSTITUTE("247,512.50",".","-"),",","."),"-",",")</f>
        <v>247.512,50</v>
      </c>
      <c r="K1380" s="2"/>
    </row>
    <row r="1381" spans="1:11" ht="63" x14ac:dyDescent="0.25">
      <c r="A1381" s="1" t="str">
        <f>"A-1/2014"</f>
        <v>A-1/2014</v>
      </c>
      <c r="B1381" s="1" t="s">
        <v>11</v>
      </c>
      <c r="C1381" s="1" t="s">
        <v>488</v>
      </c>
      <c r="D1381" s="1" t="str">
        <f>"1126-2012-EVV"</f>
        <v>1126-2012-EVV</v>
      </c>
      <c r="E1381" s="2"/>
      <c r="F1381" s="1" t="str">
        <f>"0,00"</f>
        <v>0,00</v>
      </c>
      <c r="G1381" s="1" t="str">
        <f>CONCATENATE("10.01.2014.",CHAR(10),"do 01.03.2014")</f>
        <v>10.01.2014.
do 01.03.2014</v>
      </c>
      <c r="H1381" s="1" t="str">
        <f>CONCATENATE("1. Zajednica ponuditelja: ",CHAR(10),"    DARH 2 D.O.O., SAMOBOR",CHAR(10),"    BRODARSKI INSTITUT D.O.O., ZAGREB-NOVI ZAGREB")</f>
        <v>1. Zajednica ponuditelja: 
    DARH 2 D.O.O., SAMOBOR
    BRODARSKI INSTITUT D.O.O., ZAGREB-NOVI ZAGREB</v>
      </c>
      <c r="I1381" s="2"/>
      <c r="J1381" s="1"/>
      <c r="K1381" s="2"/>
    </row>
    <row r="1382" spans="1:11" ht="47.25" x14ac:dyDescent="0.25">
      <c r="A1382" s="1" t="str">
        <f>"11/2014"</f>
        <v>11/2014</v>
      </c>
      <c r="B1382" s="1" t="s">
        <v>14</v>
      </c>
      <c r="C1382" s="1" t="s">
        <v>2617</v>
      </c>
      <c r="D1382" s="1" t="str">
        <f>CONCATENATE("2285-2013-EMV",CHAR(10),"2013/S 015-0104240 od 30.12.2013.")</f>
        <v>2285-2013-EMV
2013/S 015-0104240 od 30.12.2013.</v>
      </c>
      <c r="E1382" s="1" t="s">
        <v>12</v>
      </c>
      <c r="F1382" s="1" t="str">
        <f>"1.231.754,00"</f>
        <v>1.231.754,00</v>
      </c>
      <c r="G1382" s="1" t="str">
        <f>CONCATENATE("10.01.2014.",CHAR(10),"90 dana")</f>
        <v>10.01.2014.
90 dana</v>
      </c>
      <c r="H1382" s="1" t="str">
        <f>CONCATENATE("1. Zajednica ponuditelja: ",CHAR(10),"    TEH-GRADNJA D.O.O., ZAGREB",CHAR(10),"    GEOANDA D.O.O., ZAGREB")</f>
        <v>1. Zajednica ponuditelja: 
    TEH-GRADNJA D.O.O., ZAGREB
    GEOANDA D.O.O., ZAGREB</v>
      </c>
      <c r="I1382" s="1" t="s">
        <v>167</v>
      </c>
      <c r="J1382" s="1" t="str">
        <f>SUBSTITUTE(SUBSTITUTE(SUBSTITUTE("1,538,612.04",".","-"),",","."),"-",",")</f>
        <v>1.538.612,04</v>
      </c>
      <c r="K1382" s="2"/>
    </row>
    <row r="1383" spans="1:11" ht="63" x14ac:dyDescent="0.25">
      <c r="A1383" s="1" t="str">
        <f>"12/2014"</f>
        <v>12/2014</v>
      </c>
      <c r="B1383" s="1" t="s">
        <v>14</v>
      </c>
      <c r="C1383" s="1" t="s">
        <v>2618</v>
      </c>
      <c r="D1383" s="1" t="str">
        <f>CONCATENATE("2785-2013-EMV",CHAR(10),"2013/S 002-0084445 od 10.10.2013.")</f>
        <v>2785-2013-EMV
2013/S 002-0084445 od 10.10.2013.</v>
      </c>
      <c r="E1383" s="1" t="s">
        <v>15</v>
      </c>
      <c r="F1383" s="1" t="str">
        <f>"78.000,00"</f>
        <v>78.000,00</v>
      </c>
      <c r="G1383" s="1" t="str">
        <f>CONCATENATE("10.01.2014.",CHAR(10),"90 dana")</f>
        <v>10.01.2014.
90 dana</v>
      </c>
      <c r="H1383" s="1" t="str">
        <f>CONCATENATE("1. Zajednica ponuditelja: ",CHAR(10),"    ARHINGTRADE D.O.O., ZAGREB",CHAR(10),"    HVAT D.O.O., SAMOBOR")</f>
        <v>1. Zajednica ponuditelja: 
    ARHINGTRADE D.O.O., ZAGREB
    HVAT D.O.O., SAMOBOR</v>
      </c>
      <c r="I1383" s="2"/>
      <c r="J1383" s="1"/>
      <c r="K1383" s="2"/>
    </row>
    <row r="1384" spans="1:11" ht="78.75" x14ac:dyDescent="0.25">
      <c r="A1384" s="1" t="str">
        <f>"13/2014"</f>
        <v>13/2014</v>
      </c>
      <c r="B1384" s="1" t="s">
        <v>14</v>
      </c>
      <c r="C1384" s="1" t="s">
        <v>2619</v>
      </c>
      <c r="D1384" s="1" t="str">
        <f>CONCATENATE("519-2013-EMV",CHAR(10),"2013/S 002-0085941 od 16.10.2013. i ispravak 2013/S 014-0088531 od 24.10.2013.")</f>
        <v>519-2013-EMV
2013/S 002-0085941 od 16.10.2013. i ispravak 2013/S 014-0088531 od 24.10.2013.</v>
      </c>
      <c r="E1384" s="1" t="s">
        <v>15</v>
      </c>
      <c r="F1384" s="1" t="str">
        <f>"583.772,00"</f>
        <v>583.772,00</v>
      </c>
      <c r="G1384" s="1" t="str">
        <f>CONCATENATE("10.01.2014.",CHAR(10),"45 dana")</f>
        <v>10.01.2014.
45 dana</v>
      </c>
      <c r="H1384" s="1" t="str">
        <f>CONCATENATE("PERUČA D.O.O., OSIJEK")</f>
        <v>PERUČA D.O.O., OSIJEK</v>
      </c>
      <c r="I1384" s="1" t="s">
        <v>330</v>
      </c>
      <c r="J1384" s="1" t="str">
        <f>SUBSTITUTE(SUBSTITUTE(SUBSTITUTE("729,703.75",".","-"),",","."),"-",",")</f>
        <v>729.703,75</v>
      </c>
      <c r="K1384" s="2"/>
    </row>
    <row r="1385" spans="1:11" ht="47.25" x14ac:dyDescent="0.25">
      <c r="A1385" s="1" t="str">
        <f>"14/2014"</f>
        <v>14/2014</v>
      </c>
      <c r="B1385" s="1" t="s">
        <v>14</v>
      </c>
      <c r="C1385" s="1" t="s">
        <v>2620</v>
      </c>
      <c r="D1385" s="1" t="str">
        <f>CONCATENATE("1644-2013-EMV",CHAR(10),"2013/S 002-0078417 od 18.09.2013.")</f>
        <v>1644-2013-EMV
2013/S 002-0078417 od 18.09.2013.</v>
      </c>
      <c r="E1385" s="1" t="s">
        <v>15</v>
      </c>
      <c r="F1385" s="1" t="str">
        <f>"472.800,00"</f>
        <v>472.800,00</v>
      </c>
      <c r="G1385" s="1" t="str">
        <f>CONCATENATE("10.01.2014.",CHAR(10),"5 mjeseci")</f>
        <v>10.01.2014.
5 mjeseci</v>
      </c>
      <c r="H1385" s="1" t="str">
        <f>CONCATENATE("1. Zajednica ponuditelja: ",CHAR(10),"    ARHINGTRADE D.O.O., ZAGREB",CHAR(10),"    STATING D.O.O., ZAGREB")</f>
        <v>1. Zajednica ponuditelja: 
    ARHINGTRADE D.O.O., ZAGREB
    STATING D.O.O., ZAGREB</v>
      </c>
      <c r="I1385" s="1" t="s">
        <v>469</v>
      </c>
      <c r="J1385" s="1" t="str">
        <f>SUBSTITUTE(SUBSTITUTE(SUBSTITUTE("472,800.00",".","-"),",","."),"-",",")</f>
        <v>472.800,00</v>
      </c>
      <c r="K1385" s="2"/>
    </row>
    <row r="1386" spans="1:11" ht="47.25" x14ac:dyDescent="0.25">
      <c r="A1386" s="1" t="str">
        <f>"15/2014"</f>
        <v>15/2014</v>
      </c>
      <c r="B1386" s="1" t="s">
        <v>14</v>
      </c>
      <c r="C1386" s="1" t="s">
        <v>2621</v>
      </c>
      <c r="D1386" s="1" t="str">
        <f>CONCATENATE("1632-2013-EMV",CHAR(10),"2013/S 002-0036399 od 19.04.2013.")</f>
        <v>1632-2013-EMV
2013/S 002-0036399 od 19.04.2013.</v>
      </c>
      <c r="E1386" s="1" t="s">
        <v>15</v>
      </c>
      <c r="F1386" s="1" t="str">
        <f>"3.270,00"</f>
        <v>3.270,00</v>
      </c>
      <c r="G1386" s="1" t="str">
        <f>CONCATENATE("10.01.2014.",CHAR(10),"4 mjeseca")</f>
        <v>10.01.2014.
4 mjeseca</v>
      </c>
      <c r="H1386" s="1" t="str">
        <f>CONCATENATE("RUDAN D.O.O., ŽMINJ")</f>
        <v>RUDAN D.O.O., ŽMINJ</v>
      </c>
      <c r="I1386" s="1" t="s">
        <v>489</v>
      </c>
      <c r="J1386" s="1" t="str">
        <f>SUBSTITUTE(SUBSTITUTE(SUBSTITUTE("4,087.50",".","-"),",","."),"-",",")</f>
        <v>4.087,50</v>
      </c>
      <c r="K1386" s="2"/>
    </row>
    <row r="1387" spans="1:11" ht="47.25" x14ac:dyDescent="0.25">
      <c r="A1387" s="1" t="str">
        <f>"16/2014"</f>
        <v>16/2014</v>
      </c>
      <c r="B1387" s="1" t="s">
        <v>14</v>
      </c>
      <c r="C1387" s="1" t="s">
        <v>2622</v>
      </c>
      <c r="D1387" s="1" t="str">
        <f>CONCATENATE("1964-2013-EMV",CHAR(10),"2013/S 002-0084354 od 10.10.2013.")</f>
        <v>1964-2013-EMV
2013/S 002-0084354 od 10.10.2013.</v>
      </c>
      <c r="E1387" s="1" t="s">
        <v>15</v>
      </c>
      <c r="F1387" s="1" t="str">
        <f>"153.131,76"</f>
        <v>153.131,76</v>
      </c>
      <c r="G1387" s="1" t="str">
        <f>CONCATENATE("10.01.2014.",CHAR(10),"3 mjeseca")</f>
        <v>10.01.2014.
3 mjeseca</v>
      </c>
      <c r="H1387" s="1" t="str">
        <f>CONCATENATE("1. Zajednica ponuditelja: ",CHAR(10),"    HEDOM D.O.O., ZAGREB",CHAR(10),"    MC ČIŠĆENJE D.O.O., SISAK")</f>
        <v>1. Zajednica ponuditelja: 
    HEDOM D.O.O., ZAGREB
    MC ČIŠĆENJE D.O.O., SISAK</v>
      </c>
      <c r="I1387" s="1" t="s">
        <v>334</v>
      </c>
      <c r="J1387" s="1" t="str">
        <f>SUBSTITUTE(SUBSTITUTE(SUBSTITUTE("191,414.70",".","-"),",","."),"-",",")</f>
        <v>191.414,70</v>
      </c>
      <c r="K1387" s="2"/>
    </row>
    <row r="1388" spans="1:11" ht="47.25" x14ac:dyDescent="0.25">
      <c r="A1388" s="1" t="str">
        <f>"17/2014"</f>
        <v>17/2014</v>
      </c>
      <c r="B1388" s="1" t="s">
        <v>14</v>
      </c>
      <c r="C1388" s="1" t="s">
        <v>2623</v>
      </c>
      <c r="D1388" s="1" t="str">
        <f>CONCATENATE("1243-2013-EMV",CHAR(10),"2013/S 002-0075410 od 05.09.2013.")</f>
        <v>1243-2013-EMV
2013/S 002-0075410 od 05.09.2013.</v>
      </c>
      <c r="E1388" s="1" t="s">
        <v>15</v>
      </c>
      <c r="F1388" s="1" t="str">
        <f>"136.540,50"</f>
        <v>136.540,50</v>
      </c>
      <c r="G1388" s="1" t="str">
        <f>CONCATENATE("10.01.2014.",CHAR(10),"30 dana")</f>
        <v>10.01.2014.
30 dana</v>
      </c>
      <c r="H1388" s="1" t="str">
        <f>CONCATENATE("MONTEL D.O.O., ZAGREB")</f>
        <v>MONTEL D.O.O., ZAGREB</v>
      </c>
      <c r="I1388" s="2"/>
      <c r="J1388" s="1"/>
      <c r="K1388" s="2"/>
    </row>
    <row r="1389" spans="1:11" ht="47.25" x14ac:dyDescent="0.25">
      <c r="A1389" s="1" t="str">
        <f>"18/2014"</f>
        <v>18/2014</v>
      </c>
      <c r="B1389" s="1" t="s">
        <v>14</v>
      </c>
      <c r="C1389" s="1" t="s">
        <v>2624</v>
      </c>
      <c r="D1389" s="1" t="str">
        <f>CONCATENATE("2740-2013-EMV",CHAR(10),"2013/S 015-0101051 od 13.12.2013.")</f>
        <v>2740-2013-EMV
2013/S 015-0101051 od 13.12.2013.</v>
      </c>
      <c r="E1389" s="1" t="s">
        <v>12</v>
      </c>
      <c r="F1389" s="1" t="str">
        <f>"237.882,64"</f>
        <v>237.882,64</v>
      </c>
      <c r="G1389" s="1" t="str">
        <f>CONCATENATE("10.01.2014.",CHAR(10),"30 dana")</f>
        <v>10.01.2014.
30 dana</v>
      </c>
      <c r="H1389" s="1" t="str">
        <f>CONCATENATE("GRADITELJ SVRATIŠTA D.O.O., ZAGREB")</f>
        <v>GRADITELJ SVRATIŠTA D.O.O., ZAGREB</v>
      </c>
      <c r="I1389" s="1" t="s">
        <v>490</v>
      </c>
      <c r="J1389" s="1" t="str">
        <f>SUBSTITUTE(SUBSTITUTE(SUBSTITUTE("296,648.23",".","-"),",","."),"-",",")</f>
        <v>296.648,23</v>
      </c>
      <c r="K1389" s="2"/>
    </row>
    <row r="1390" spans="1:11" ht="47.25" x14ac:dyDescent="0.25">
      <c r="A1390" s="1" t="str">
        <f>"19/2014"</f>
        <v>19/2014</v>
      </c>
      <c r="B1390" s="1" t="s">
        <v>14</v>
      </c>
      <c r="C1390" s="1" t="s">
        <v>2625</v>
      </c>
      <c r="D1390" s="1" t="str">
        <f>CONCATENATE("2392-2013-EMV",CHAR(10),"2013/S 002-0084888 od 11.10.2014.")</f>
        <v>2392-2013-EMV
2013/S 002-0084888 od 11.10.2014.</v>
      </c>
      <c r="E1390" s="1" t="s">
        <v>15</v>
      </c>
      <c r="F1390" s="1" t="str">
        <f>"353.510,79"</f>
        <v>353.510,79</v>
      </c>
      <c r="G1390" s="1" t="str">
        <f>CONCATENATE("10.01.2014.",CHAR(10),"12 mjeseci")</f>
        <v>10.01.2014.
12 mjeseci</v>
      </c>
      <c r="H1390" s="1" t="str">
        <f>CONCATENATE("GRADITELJ SVRATIŠTA D.O.O., ZAGREB")</f>
        <v>GRADITELJ SVRATIŠTA D.O.O., ZAGREB</v>
      </c>
      <c r="I1390" s="1" t="s">
        <v>209</v>
      </c>
      <c r="J1390" s="1" t="str">
        <f>SUBSTITUTE(SUBSTITUTE(SUBSTITUTE("441,811.73",".","-"),",","."),"-",",")</f>
        <v>441.811,73</v>
      </c>
      <c r="K1390" s="2"/>
    </row>
    <row r="1391" spans="1:11" ht="94.5" x14ac:dyDescent="0.25">
      <c r="A1391" s="1" t="str">
        <f>"A-2/2014"</f>
        <v>A-2/2014</v>
      </c>
      <c r="B1391" s="1" t="s">
        <v>11</v>
      </c>
      <c r="C1391" s="1" t="s">
        <v>491</v>
      </c>
      <c r="D1391" s="1" t="str">
        <f>"1964-2012-EMV"</f>
        <v>1964-2012-EMV</v>
      </c>
      <c r="E1391" s="2"/>
      <c r="F1391" s="1" t="str">
        <f>"0,00"</f>
        <v>0,00</v>
      </c>
      <c r="G1391" s="1" t="str">
        <f>CONCATENATE("13.01.2014.",CHAR(10),"do 30.6.2014")</f>
        <v>13.01.2014.
do 30.6.2014</v>
      </c>
      <c r="H1391" s="1" t="str">
        <f>CONCATENATE("1. Zajednica ponuditelja: ",CHAR(10),"    PRONGRAD BIRO D.O.O., ZAGREB",CHAR(10),"    VPB D.D., ZAGREB",CHAR(10),"    GEOFORMAT D.O.O., ZAGREB")</f>
        <v>1. Zajednica ponuditelja: 
    PRONGRAD BIRO D.O.O., ZAGREB
    VPB D.D., ZAGREB
    GEOFORMAT D.O.O., ZAGREB</v>
      </c>
      <c r="I1391" s="2"/>
      <c r="J1391" s="1"/>
      <c r="K1391" s="2"/>
    </row>
    <row r="1392" spans="1:11" ht="63" x14ac:dyDescent="0.25">
      <c r="A1392" s="1" t="str">
        <f>"20/2014"</f>
        <v>20/2014</v>
      </c>
      <c r="B1392" s="1" t="s">
        <v>14</v>
      </c>
      <c r="C1392" s="1" t="s">
        <v>2626</v>
      </c>
      <c r="D1392" s="1" t="str">
        <f>CONCATENATE("1958-2013-EMV",CHAR(10),"2013/S 002-0088004 od 23.10.2013.")</f>
        <v>1958-2013-EMV
2013/S 002-0088004 od 23.10.2013.</v>
      </c>
      <c r="E1392" s="1" t="s">
        <v>15</v>
      </c>
      <c r="F1392" s="1" t="str">
        <f>"73.000,00"</f>
        <v>73.000,00</v>
      </c>
      <c r="G1392" s="1" t="str">
        <f>CONCATENATE("14.01.2014.",CHAR(10),"12 mjeseci")</f>
        <v>14.01.2014.
12 mjeseci</v>
      </c>
      <c r="H1392" s="1" t="str">
        <f>CONCATENATE("EKO-PLAN D.O.O., ZAGREB",CHAR(10),"MJERNIK LIMA D.O.O., ZAGREB")</f>
        <v>EKO-PLAN D.O.O., ZAGREB
MJERNIK LIMA D.O.O., ZAGREB</v>
      </c>
      <c r="I1392" s="2"/>
      <c r="J1392" s="1"/>
      <c r="K1392" s="2"/>
    </row>
    <row r="1393" spans="1:11" ht="47.25" x14ac:dyDescent="0.25">
      <c r="A1393" s="1" t="str">
        <f>"21/2014"</f>
        <v>21/2014</v>
      </c>
      <c r="B1393" s="1" t="s">
        <v>14</v>
      </c>
      <c r="C1393" s="1" t="s">
        <v>1969</v>
      </c>
      <c r="D1393" s="1" t="str">
        <f>CONCATENATE("2857-2012-EMV",CHAR(10),"2014/S-015-0000117 od 03.01.2014.")</f>
        <v>2857-2012-EMV
2014/S-015-0000117 od 03.01.2014.</v>
      </c>
      <c r="E1393" s="1" t="s">
        <v>12</v>
      </c>
      <c r="F1393" s="1" t="str">
        <f>"364.188,00"</f>
        <v>364.188,00</v>
      </c>
      <c r="G1393" s="1" t="str">
        <f>CONCATENATE("14.01.2014.",CHAR(10),"1 mjesec")</f>
        <v>14.01.2014.
1 mjesec</v>
      </c>
      <c r="H1393" s="1" t="str">
        <f>CONCATENATE("1. Zajednica ponuditelja: ",CHAR(10),"    EKO-DERATIZACIJA D.O.O., ZAGREB",CHAR(10),"    SANITACIJA D.O.O., ZAGREB")</f>
        <v>1. Zajednica ponuditelja: 
    EKO-DERATIZACIJA D.O.O., ZAGREB
    SANITACIJA D.O.O., ZAGREB</v>
      </c>
      <c r="I1393" s="1" t="s">
        <v>195</v>
      </c>
      <c r="J1393" s="1" t="str">
        <f>SUBSTITUTE(SUBSTITUTE(SUBSTITUTE("455,235.00",".","-"),",","."),"-",",")</f>
        <v>455.235,00</v>
      </c>
      <c r="K1393" s="2"/>
    </row>
    <row r="1394" spans="1:11" ht="47.25" x14ac:dyDescent="0.25">
      <c r="A1394" s="1" t="str">
        <f>"22/2014"</f>
        <v>22/2014</v>
      </c>
      <c r="B1394" s="1" t="s">
        <v>14</v>
      </c>
      <c r="C1394" s="1" t="s">
        <v>2627</v>
      </c>
      <c r="D1394" s="1" t="str">
        <f>CONCATENATE("525-2013-EMV",CHAR(10),"2013/S 002-0060869 od 08.07.2013.")</f>
        <v>525-2013-EMV
2013/S 002-0060869 od 08.07.2013.</v>
      </c>
      <c r="E1394" s="1" t="s">
        <v>15</v>
      </c>
      <c r="F1394" s="1" t="str">
        <f>"640.171,00"</f>
        <v>640.171,00</v>
      </c>
      <c r="G1394" s="1" t="str">
        <f>CONCATENATE("14.01.2014.",CHAR(10),"50 dana")</f>
        <v>14.01.2014.
50 dana</v>
      </c>
      <c r="H1394" s="1" t="str">
        <f>CONCATENATE("1. Zajednica ponuditelja: ",CHAR(10),"    RANUS D.O.O., ZAGREB",CHAR(10),"    C.I.A.K. D.O.O., ZAGREB")</f>
        <v>1. Zajednica ponuditelja: 
    RANUS D.O.O., ZAGREB
    C.I.A.K. D.O.O., ZAGREB</v>
      </c>
      <c r="I1394" s="2"/>
      <c r="J1394" s="1"/>
      <c r="K1394" s="2"/>
    </row>
    <row r="1395" spans="1:11" ht="47.25" x14ac:dyDescent="0.25">
      <c r="A1395" s="1" t="str">
        <f>"23/2014"</f>
        <v>23/2014</v>
      </c>
      <c r="B1395" s="1" t="s">
        <v>14</v>
      </c>
      <c r="C1395" s="1" t="s">
        <v>2628</v>
      </c>
      <c r="D1395" s="1" t="str">
        <f>CONCATENATE("2788-2013-EMV",CHAR(10),"2013/S 002-0072366 od 26.08.2013.")</f>
        <v>2788-2013-EMV
2013/S 002-0072366 od 26.08.2013.</v>
      </c>
      <c r="E1395" s="1" t="s">
        <v>15</v>
      </c>
      <c r="F1395" s="1" t="str">
        <f>"930.783,21"</f>
        <v>930.783,21</v>
      </c>
      <c r="G1395" s="1" t="str">
        <f>CONCATENATE("15.01.2014.",CHAR(10),"60 dana")</f>
        <v>15.01.2014.
60 dana</v>
      </c>
      <c r="H1395" s="1" t="str">
        <f>CONCATENATE("1. Zajednica ponuditelja: ",CHAR(10),"    NERING D.O.O., SESVETE",CHAR(10),"    MJERNIK LIMA D.O.O., ZAGREB")</f>
        <v>1. Zajednica ponuditelja: 
    NERING D.O.O., SESVETE
    MJERNIK LIMA D.O.O., ZAGREB</v>
      </c>
      <c r="I1395" s="2"/>
      <c r="J1395" s="1"/>
      <c r="K1395" s="2"/>
    </row>
    <row r="1396" spans="1:11" ht="47.25" x14ac:dyDescent="0.25">
      <c r="A1396" s="1" t="str">
        <f>"R-1/2014"</f>
        <v>R-1/2014</v>
      </c>
      <c r="B1396" s="1" t="s">
        <v>56</v>
      </c>
      <c r="C1396" s="1" t="s">
        <v>2629</v>
      </c>
      <c r="D1396" s="1" t="str">
        <f>"EV-333-013/2011"</f>
        <v>EV-333-013/2011</v>
      </c>
      <c r="E1396" s="2"/>
      <c r="F1396" s="1" t="str">
        <f>"0,00"</f>
        <v>0,00</v>
      </c>
      <c r="G1396" s="1" t="str">
        <f>"16.01.2014."</f>
        <v>16.01.2014.</v>
      </c>
      <c r="H1396" s="1" t="str">
        <f>CONCATENATE("ELEKTROCENTAR PETEK D.O.O., IVANIĆ-GRAD")</f>
        <v>ELEKTROCENTAR PETEK D.O.O., IVANIĆ-GRAD</v>
      </c>
      <c r="I1396" s="1" t="s">
        <v>492</v>
      </c>
      <c r="J1396" s="1" t="str">
        <f>SUBSTITUTE(SUBSTITUTE(SUBSTITUTE("94,936.99",".","-"),",","."),"-",",")</f>
        <v>94.936,99</v>
      </c>
      <c r="K1396" s="2"/>
    </row>
    <row r="1397" spans="1:11" ht="31.5" x14ac:dyDescent="0.25">
      <c r="A1397" s="1" t="str">
        <f>"A-3/2014"</f>
        <v>A-3/2014</v>
      </c>
      <c r="B1397" s="1" t="s">
        <v>11</v>
      </c>
      <c r="C1397" s="1" t="s">
        <v>493</v>
      </c>
      <c r="D1397" s="1" t="str">
        <f>"1084-2012-EMV"</f>
        <v>1084-2012-EMV</v>
      </c>
      <c r="E1397" s="2"/>
      <c r="F1397" s="1" t="str">
        <f>"0,00"</f>
        <v>0,00</v>
      </c>
      <c r="G1397" s="1" t="str">
        <f>"16.01.2014."</f>
        <v>16.01.2014.</v>
      </c>
      <c r="H1397" s="1" t="str">
        <f>CONCATENATE("TERMORAD D.O.O., ZAGREB")</f>
        <v>TERMORAD D.O.O., ZAGREB</v>
      </c>
      <c r="I1397" s="2"/>
      <c r="J1397" s="1"/>
      <c r="K1397" s="2"/>
    </row>
    <row r="1398" spans="1:11" ht="110.25" x14ac:dyDescent="0.25">
      <c r="A1398" s="1" t="str">
        <f>"24/2014"</f>
        <v>24/2014</v>
      </c>
      <c r="B1398" s="1" t="s">
        <v>14</v>
      </c>
      <c r="C1398" s="1" t="s">
        <v>2630</v>
      </c>
      <c r="D1398" s="1" t="str">
        <f>CONCATENATE("1938-2013-EMV",CHAR(10),"2013/S 002-0085699 od 15.10.2013.")</f>
        <v>1938-2013-EMV
2013/S 002-0085699 od 15.10.2013.</v>
      </c>
      <c r="E1398" s="1" t="s">
        <v>15</v>
      </c>
      <c r="F1398" s="1" t="str">
        <f>"112.000,00"</f>
        <v>112.000,00</v>
      </c>
      <c r="G1398" s="1" t="str">
        <f>CONCATENATE("16.01.2014.",CHAR(10),"12 mjeseci")</f>
        <v>16.01.2014.
12 mjeseci</v>
      </c>
      <c r="H1398" s="1" t="str">
        <f>CONCATENATE("KONZALT ING D.O.O., ZAGREB")</f>
        <v>KONZALT ING D.O.O., ZAGREB</v>
      </c>
      <c r="I1398" s="1" t="s">
        <v>494</v>
      </c>
      <c r="J1398" s="1" t="str">
        <f>SUBSTITUTE(SUBSTITUTE(SUBSTITUTE("140,000.00",".","-"),",","."),"-",",")</f>
        <v>140.000,00</v>
      </c>
      <c r="K1398" s="2"/>
    </row>
    <row r="1399" spans="1:11" ht="110.25" x14ac:dyDescent="0.25">
      <c r="A1399" s="1" t="str">
        <f>"A-4/2014"</f>
        <v>A-4/2014</v>
      </c>
      <c r="B1399" s="1" t="s">
        <v>11</v>
      </c>
      <c r="C1399" s="1" t="s">
        <v>495</v>
      </c>
      <c r="D1399" s="1" t="str">
        <f>"1979-2012-EMV"</f>
        <v>1979-2012-EMV</v>
      </c>
      <c r="E1399" s="2"/>
      <c r="F1399" s="1" t="str">
        <f>"0,00"</f>
        <v>0,00</v>
      </c>
      <c r="G1399" s="1" t="str">
        <f>CONCATENATE("16.01.2014.",CHAR(10),"30.06.2014")</f>
        <v>16.01.2014.
30.06.2014</v>
      </c>
      <c r="H1399" s="1" t="str">
        <f>CONCATENATE("1. Zajednica ponuditelja: ",CHAR(10),"    INŽENJERSKI PROJEKTNI ZAVOD D.D., ZAGREB",CHAR(10),"    GEO-BIM D.O.O., SAMOBOR")</f>
        <v>1. Zajednica ponuditelja: 
    INŽENJERSKI PROJEKTNI ZAVOD D.D., ZAGREB
    GEO-BIM D.O.O., SAMOBOR</v>
      </c>
      <c r="I1399" s="2"/>
      <c r="J1399" s="1"/>
      <c r="K1399" s="2"/>
    </row>
    <row r="1400" spans="1:11" ht="47.25" x14ac:dyDescent="0.25">
      <c r="A1400" s="1" t="str">
        <f>"25/2014"</f>
        <v>25/2014</v>
      </c>
      <c r="B1400" s="1" t="s">
        <v>14</v>
      </c>
      <c r="C1400" s="1" t="s">
        <v>2631</v>
      </c>
      <c r="D1400" s="1" t="str">
        <f>CONCATENATE("1118-2013-EMV",CHAR(10),"2013/S 002-0088086 od 23.10.2013.")</f>
        <v>1118-2013-EMV
2013/S 002-0088086 od 23.10.2013.</v>
      </c>
      <c r="E1400" s="1" t="s">
        <v>15</v>
      </c>
      <c r="F1400" s="1" t="str">
        <f>"829.922,49"</f>
        <v>829.922,49</v>
      </c>
      <c r="G1400" s="1" t="str">
        <f>CONCATENATE("17.01.2014.",CHAR(10),"3 mjeseca")</f>
        <v>17.01.2014.
3 mjeseca</v>
      </c>
      <c r="H1400" s="1" t="str">
        <f>CONCATENATE("PERIĆ USLUGE D.O.O., ZAGREB")</f>
        <v>PERIĆ USLUGE D.O.O., ZAGREB</v>
      </c>
      <c r="I1400" s="1" t="s">
        <v>496</v>
      </c>
      <c r="J1400" s="1" t="str">
        <f>SUBSTITUTE(SUBSTITUTE(SUBSTITUTE("736,139.98",".","-"),",","."),"-",",")</f>
        <v>736.139,98</v>
      </c>
      <c r="K1400" s="2"/>
    </row>
    <row r="1401" spans="1:11" ht="47.25" x14ac:dyDescent="0.25">
      <c r="A1401" s="1" t="str">
        <f>"26/2014"</f>
        <v>26/2014</v>
      </c>
      <c r="B1401" s="1" t="s">
        <v>14</v>
      </c>
      <c r="C1401" s="1" t="s">
        <v>2632</v>
      </c>
      <c r="D1401" s="1" t="str">
        <f>CONCATENATE("2760-2013-EMV",CHAR(10),"2013/S 002-0076770 od 11.09.2013.")</f>
        <v>2760-2013-EMV
2013/S 002-0076770 od 11.09.2013.</v>
      </c>
      <c r="E1401" s="1" t="s">
        <v>15</v>
      </c>
      <c r="F1401" s="1" t="str">
        <f>"196.920,00"</f>
        <v>196.920,00</v>
      </c>
      <c r="G1401" s="1" t="str">
        <f>CONCATENATE("17.01.2014.",CHAR(10),"1 godina")</f>
        <v>17.01.2014.
1 godina</v>
      </c>
      <c r="H1401" s="1" t="str">
        <f>CONCATENATE("PGT ŠKUNCA D.O.O., ZAGREB-SUSEDGRAD")</f>
        <v>PGT ŠKUNCA D.O.O., ZAGREB-SUSEDGRAD</v>
      </c>
      <c r="I1401" s="2"/>
      <c r="J1401" s="1"/>
      <c r="K1401" s="2"/>
    </row>
    <row r="1402" spans="1:11" ht="31.5" x14ac:dyDescent="0.25">
      <c r="A1402" s="1" t="str">
        <f>"27/2014"</f>
        <v>27/2014</v>
      </c>
      <c r="B1402" s="1" t="s">
        <v>26</v>
      </c>
      <c r="C1402" s="1" t="s">
        <v>2633</v>
      </c>
      <c r="D1402" s="1" t="str">
        <f>"191-2013-EMV"</f>
        <v>191-2013-EMV</v>
      </c>
      <c r="E1402" s="2"/>
      <c r="F1402" s="1" t="str">
        <f>"55.405,00"</f>
        <v>55.405,00</v>
      </c>
      <c r="G1402" s="1" t="str">
        <f>CONCATENATE("17.01.2014.",CHAR(10),"1 godine")</f>
        <v>17.01.2014.
1 godine</v>
      </c>
      <c r="H1402" s="1" t="str">
        <f>CONCATENATE("ZRIN D.O.O., ZAGREB")</f>
        <v>ZRIN D.O.O., ZAGREB</v>
      </c>
      <c r="I1402" s="1" t="s">
        <v>497</v>
      </c>
      <c r="J1402" s="1" t="str">
        <f>SUBSTITUTE(SUBSTITUTE(SUBSTITUTE("54,650.00",".","-"),",","."),"-",",")</f>
        <v>54.650,00</v>
      </c>
      <c r="K1402" s="2"/>
    </row>
    <row r="1403" spans="1:11" ht="63" x14ac:dyDescent="0.25">
      <c r="A1403" s="1" t="str">
        <f>"28/2014"</f>
        <v>28/2014</v>
      </c>
      <c r="B1403" s="1" t="s">
        <v>14</v>
      </c>
      <c r="C1403" s="1" t="s">
        <v>2634</v>
      </c>
      <c r="D1403" s="1" t="str">
        <f>CONCATENATE("1939-2013-EMV",CHAR(10),"2013/S 002-0085826 od 16.10.2013.")</f>
        <v>1939-2013-EMV
2013/S 002-0085826 od 16.10.2013.</v>
      </c>
      <c r="E1403" s="1" t="s">
        <v>15</v>
      </c>
      <c r="F1403" s="1" t="str">
        <f>"40.500,00"</f>
        <v>40.500,00</v>
      </c>
      <c r="G1403" s="1" t="str">
        <f>CONCATENATE("17.01.2014.",CHAR(10),"12 mjeseci")</f>
        <v>17.01.2014.
12 mjeseci</v>
      </c>
      <c r="H1403" s="1" t="str">
        <f>CONCATENATE("1. Zajednica ponuditelja: ",CHAR(10),"    FLUID-PROJEKT D.O.O., ZAPREŠIĆ",CHAR(10),"    GIMA D.O.O., ZAGREB")</f>
        <v>1. Zajednica ponuditelja: 
    FLUID-PROJEKT D.O.O., ZAPREŠIĆ
    GIMA D.O.O., ZAGREB</v>
      </c>
      <c r="I1403" s="1" t="s">
        <v>498</v>
      </c>
      <c r="J1403" s="1" t="str">
        <f>SUBSTITUTE(SUBSTITUTE(SUBSTITUTE("46,875.00",".","-"),",","."),"-",",")</f>
        <v>46.875,00</v>
      </c>
      <c r="K1403" s="2"/>
    </row>
    <row r="1404" spans="1:11" ht="47.25" x14ac:dyDescent="0.25">
      <c r="A1404" s="1" t="str">
        <f>"29/2014"</f>
        <v>29/2014</v>
      </c>
      <c r="B1404" s="1" t="s">
        <v>14</v>
      </c>
      <c r="C1404" s="1" t="s">
        <v>2635</v>
      </c>
      <c r="D1404" s="1" t="str">
        <f>CONCATENATE("2367-2013-EMV",CHAR(10),"2013/S 002-0093679 od 14.11.2013.")</f>
        <v>2367-2013-EMV
2013/S 002-0093679 od 14.11.2013.</v>
      </c>
      <c r="E1404" s="1" t="s">
        <v>15</v>
      </c>
      <c r="F1404" s="1" t="str">
        <f>"318.000,00"</f>
        <v>318.000,00</v>
      </c>
      <c r="G1404" s="1" t="str">
        <f>CONCATENATE("22.01.2014.",CHAR(10),"12 mjeseci")</f>
        <v>22.01.2014.
12 mjeseci</v>
      </c>
      <c r="H1404" s="1" t="str">
        <f>CONCATENATE("OKIT D.O.O., ZAGREB")</f>
        <v>OKIT D.O.O., ZAGREB</v>
      </c>
      <c r="I1404" s="1" t="s">
        <v>499</v>
      </c>
      <c r="J1404" s="1" t="str">
        <f>SUBSTITUTE(SUBSTITUTE(SUBSTITUTE("397,500.00",".","-"),",","."),"-",",")</f>
        <v>397.500,00</v>
      </c>
      <c r="K1404" s="2"/>
    </row>
    <row r="1405" spans="1:11" ht="94.5" x14ac:dyDescent="0.25">
      <c r="A1405" s="1" t="str">
        <f>"A-5/2014"</f>
        <v>A-5/2014</v>
      </c>
      <c r="B1405" s="1" t="s">
        <v>11</v>
      </c>
      <c r="C1405" s="1" t="s">
        <v>500</v>
      </c>
      <c r="D1405" s="1" t="str">
        <f>"1886-2012-EMV"</f>
        <v>1886-2012-EMV</v>
      </c>
      <c r="E1405" s="2"/>
      <c r="F1405" s="1" t="str">
        <f>"0,00"</f>
        <v>0,00</v>
      </c>
      <c r="G1405" s="1" t="str">
        <f>CONCATENATE("22.01.2014.",CHAR(10),"30.6.2014")</f>
        <v>22.01.2014.
30.6.2014</v>
      </c>
      <c r="H1405" s="1" t="str">
        <f>CONCATENATE("1. Zajednica ponuditelja: ",CHAR(10),"    INŽENJERSKI PROJEKTNI ZAVOD D.D., ZAGREB",CHAR(10),"    GEO-BIM D.O.O., SAMOBOR")</f>
        <v>1. Zajednica ponuditelja: 
    INŽENJERSKI PROJEKTNI ZAVOD D.D., ZAGREB
    GEO-BIM D.O.O., SAMOBOR</v>
      </c>
      <c r="I1405" s="2"/>
      <c r="J1405" s="1"/>
      <c r="K1405" s="2"/>
    </row>
    <row r="1406" spans="1:11" ht="63" x14ac:dyDescent="0.25">
      <c r="A1406" s="1" t="str">
        <f>"A-117/2013"</f>
        <v>A-117/2013</v>
      </c>
      <c r="B1406" s="1" t="s">
        <v>11</v>
      </c>
      <c r="C1406" s="1" t="s">
        <v>2636</v>
      </c>
      <c r="D1406" s="1" t="str">
        <f>"120-2012-EMV"</f>
        <v>120-2012-EMV</v>
      </c>
      <c r="E1406" s="2"/>
      <c r="F1406" s="1" t="str">
        <f>"0,00"</f>
        <v>0,00</v>
      </c>
      <c r="G1406" s="1" t="str">
        <f>CONCATENATE("31.12.2013.",CHAR(10),"do konačne financijske realizacije ugovora, odnosno do sklapanja novog ugovora")</f>
        <v>31.12.2013.
do konačne financijske realizacije ugovora, odnosno do sklapanja novog ugovora</v>
      </c>
      <c r="H1406" s="1" t="str">
        <f>CONCATENATE("HUP-ZAGREB D.D. SHERATON HOTEL ZAGREB, ZAGREB")</f>
        <v>HUP-ZAGREB D.D. SHERATON HOTEL ZAGREB, ZAGREB</v>
      </c>
      <c r="I1406" s="2"/>
      <c r="J1406" s="1"/>
      <c r="K1406" s="2"/>
    </row>
    <row r="1407" spans="1:11" ht="31.5" x14ac:dyDescent="0.25">
      <c r="A1407" s="1" t="str">
        <f>"30/2014"</f>
        <v>30/2014</v>
      </c>
      <c r="B1407" s="1" t="s">
        <v>26</v>
      </c>
      <c r="C1407" s="1" t="s">
        <v>2637</v>
      </c>
      <c r="D1407" s="1" t="str">
        <f>"131-2012-EVV"</f>
        <v>131-2012-EVV</v>
      </c>
      <c r="E1407" s="2"/>
      <c r="F1407" s="1" t="str">
        <f>"1.396.728,10"</f>
        <v>1.396.728,10</v>
      </c>
      <c r="G1407" s="1" t="str">
        <f>CONCATENATE("15.01.2014.",CHAR(10),"12 mjeseci")</f>
        <v>15.01.2014.
12 mjeseci</v>
      </c>
      <c r="H1407" s="1" t="str">
        <f>CONCATENATE("OGANJ D.O.O., ZAGREB")</f>
        <v>OGANJ D.O.O., ZAGREB</v>
      </c>
      <c r="I1407" s="1" t="s">
        <v>314</v>
      </c>
      <c r="J1407" s="1" t="str">
        <f>SUBSTITUTE(SUBSTITUTE(SUBSTITUTE("1,745,910.13",".","-"),",","."),"-",",")</f>
        <v>1.745.910,13</v>
      </c>
      <c r="K1407" s="2"/>
    </row>
    <row r="1408" spans="1:11" ht="126" x14ac:dyDescent="0.25">
      <c r="A1408" s="1" t="str">
        <f>"A-6/2014"</f>
        <v>A-6/2014</v>
      </c>
      <c r="B1408" s="1" t="s">
        <v>11</v>
      </c>
      <c r="C1408" s="1" t="s">
        <v>501</v>
      </c>
      <c r="D1408" s="1" t="str">
        <f>"1968-2012-EMV"</f>
        <v>1968-2012-EMV</v>
      </c>
      <c r="E1408" s="2"/>
      <c r="F1408" s="1" t="str">
        <f>"0,00"</f>
        <v>0,00</v>
      </c>
      <c r="G1408" s="1" t="str">
        <f>CONCATENATE("22.01.2014.",CHAR(10),"30.06.2014")</f>
        <v>22.01.2014.
30.06.2014</v>
      </c>
      <c r="H1408" s="1" t="str">
        <f>CONCATENATE("1. Zajednica ponuditelja: ",CHAR(10),"    INŽENJERSKI PROJEKTNI ZAVOD D.D., ZAGREB",CHAR(10),"    GEO-BIM D.O.O., SAMOBOR")</f>
        <v>1. Zajednica ponuditelja: 
    INŽENJERSKI PROJEKTNI ZAVOD D.D., ZAGREB
    GEO-BIM D.O.O., SAMOBOR</v>
      </c>
      <c r="I1408" s="2"/>
      <c r="J1408" s="1"/>
      <c r="K1408" s="2"/>
    </row>
    <row r="1409" spans="1:11" ht="63" x14ac:dyDescent="0.25">
      <c r="A1409" s="1" t="str">
        <f>"31/2014"</f>
        <v>31/2014</v>
      </c>
      <c r="B1409" s="1" t="s">
        <v>14</v>
      </c>
      <c r="C1409" s="1" t="s">
        <v>2638</v>
      </c>
      <c r="D1409" s="1" t="str">
        <f>CONCATENATE("346-2013-EMV",CHAR(10),"2013/S 002-0088251 od 23.10.2013.")</f>
        <v>346-2013-EMV
2013/S 002-0088251 od 23.10.2013.</v>
      </c>
      <c r="E1409" s="1" t="s">
        <v>15</v>
      </c>
      <c r="F1409" s="1" t="str">
        <f>"235.530,00"</f>
        <v>235.530,00</v>
      </c>
      <c r="G1409" s="1" t="str">
        <f>CONCATENATE("22.01.2014.",CHAR(10),"12 mjeseci")</f>
        <v>22.01.2014.
12 mjeseci</v>
      </c>
      <c r="H1409" s="1" t="str">
        <f>CONCATENATE("1. Zajednica ponuditelja: ",CHAR(10),"    ''KINDER'' GRADNJA I USLUGE VL. I. KINDER, SESVETE",CHAR(10),"    PERVISUS D.O.O., ZAGREB")</f>
        <v>1. Zajednica ponuditelja: 
    ''KINDER'' GRADNJA I USLUGE VL. I. KINDER, SESVETE
    PERVISUS D.O.O., ZAGREB</v>
      </c>
      <c r="I1409" s="1" t="s">
        <v>502</v>
      </c>
      <c r="J1409" s="1" t="str">
        <f>SUBSTITUTE(SUBSTITUTE(SUBSTITUTE("294,391.25",".","-"),",","."),"-",",")</f>
        <v>294.391,25</v>
      </c>
      <c r="K1409" s="2"/>
    </row>
    <row r="1410" spans="1:11" ht="63" customHeight="1" x14ac:dyDescent="0.25">
      <c r="A1410" s="1" t="str">
        <f>"32/2014"</f>
        <v>32/2014</v>
      </c>
      <c r="B1410" s="1" t="s">
        <v>14</v>
      </c>
      <c r="C1410" s="1" t="s">
        <v>1924</v>
      </c>
      <c r="D1410" s="1" t="str">
        <f t="shared" ref="D1410:D1424" si="7">"230-2013-EVV"</f>
        <v>230-2013-EVV</v>
      </c>
      <c r="E1410" s="1" t="s">
        <v>40</v>
      </c>
      <c r="F1410" s="1" t="s">
        <v>503</v>
      </c>
      <c r="G1410" s="1" t="str">
        <f t="shared" ref="G1410:G1424" si="8">CONCATENATE("17.12.2013.",CHAR(10),"do zaključenja Ugovora za pružanje odvjetničkih usluga za 2014. godinu")</f>
        <v>17.12.2013.
do zaključenja Ugovora za pružanje odvjetničkih usluga za 2014. godinu</v>
      </c>
      <c r="H1410" s="1" t="str">
        <f>CONCATENATE("DERVIŠBEGOVIĆ ALMIR, ODVJETNIK, ZAGREB")</f>
        <v>DERVIŠBEGOVIĆ ALMIR, ODVJETNIK, ZAGREB</v>
      </c>
      <c r="I1410" s="1" t="s">
        <v>504</v>
      </c>
      <c r="J1410" s="8" t="str">
        <f>CONCATENATE(SUBSTITUTE(SUBSTITUTE(SUBSTITUTE("7,000,000.00",".","-"),",","."),"-",","),CHAR(10),"Ukupno isplaćeni iznos se odnosi na ugovore o zastupanju Grada Zagreba od broja registracije 32/2014 do broja 46/2014")</f>
        <v>7.000.000,00
Ukupno isplaćeni iznos se odnosi na ugovore o zastupanju Grada Zagreba od broja registracije 32/2014 do broja 46/2014</v>
      </c>
      <c r="K1410" s="2"/>
    </row>
    <row r="1411" spans="1:11" ht="63" x14ac:dyDescent="0.25">
      <c r="A1411" s="1" t="str">
        <f>"33/2014"</f>
        <v>33/2014</v>
      </c>
      <c r="B1411" s="1" t="s">
        <v>14</v>
      </c>
      <c r="C1411" s="1" t="s">
        <v>1924</v>
      </c>
      <c r="D1411" s="1" t="str">
        <f t="shared" si="7"/>
        <v>230-2013-EVV</v>
      </c>
      <c r="E1411" s="1" t="s">
        <v>40</v>
      </c>
      <c r="F1411" s="1" t="s">
        <v>503</v>
      </c>
      <c r="G1411" s="1" t="str">
        <f t="shared" si="8"/>
        <v>17.12.2013.
do zaključenja Ugovora za pružanje odvjetničkih usluga za 2014. godinu</v>
      </c>
      <c r="H1411" s="1" t="str">
        <f>CONCATENATE("NOGOLICA LJILJANA, ODVJETNICA, ZAGREB")</f>
        <v>NOGOLICA LJILJANA, ODVJETNICA, ZAGREB</v>
      </c>
      <c r="I1411" s="1" t="s">
        <v>504</v>
      </c>
      <c r="J1411" s="9"/>
      <c r="K1411" s="2"/>
    </row>
    <row r="1412" spans="1:11" ht="63" x14ac:dyDescent="0.25">
      <c r="A1412" s="1" t="str">
        <f>"34/2014"</f>
        <v>34/2014</v>
      </c>
      <c r="B1412" s="1" t="s">
        <v>14</v>
      </c>
      <c r="C1412" s="1" t="s">
        <v>1924</v>
      </c>
      <c r="D1412" s="1" t="str">
        <f t="shared" si="7"/>
        <v>230-2013-EVV</v>
      </c>
      <c r="E1412" s="1" t="s">
        <v>40</v>
      </c>
      <c r="F1412" s="1" t="s">
        <v>503</v>
      </c>
      <c r="G1412" s="1" t="str">
        <f t="shared" si="8"/>
        <v>17.12.2013.
do zaključenja Ugovora za pružanje odvjetničkih usluga za 2014. godinu</v>
      </c>
      <c r="H1412" s="1" t="str">
        <f>CONCATENATE("ZORAN GALIĆ, ODVJETNIK, ZAGREB")</f>
        <v>ZORAN GALIĆ, ODVJETNIK, ZAGREB</v>
      </c>
      <c r="I1412" s="1" t="s">
        <v>504</v>
      </c>
      <c r="J1412" s="10" t="str">
        <f>CONCATENATE(SUBSTITUTE(SUBSTITUTE(SUBSTITUTE("7,000,000.00",".","-"),",","."),"-",","),CHAR(10),"Ukupno isplaćeni iznos se odnosi na ugovore o zastupanju Grada Zagreba od broja registracije 32/2014 do broja 46/2014")</f>
        <v>7.000.000,00
Ukupno isplaćeni iznos se odnosi na ugovore o zastupanju Grada Zagreba od broja registracije 32/2014 do broja 46/2014</v>
      </c>
      <c r="K1412" s="2"/>
    </row>
    <row r="1413" spans="1:11" ht="63" x14ac:dyDescent="0.25">
      <c r="A1413" s="1" t="str">
        <f>"35/2014"</f>
        <v>35/2014</v>
      </c>
      <c r="B1413" s="1" t="s">
        <v>14</v>
      </c>
      <c r="C1413" s="1" t="s">
        <v>1924</v>
      </c>
      <c r="D1413" s="1" t="str">
        <f t="shared" si="7"/>
        <v>230-2013-EVV</v>
      </c>
      <c r="E1413" s="1" t="s">
        <v>40</v>
      </c>
      <c r="F1413" s="1" t="s">
        <v>503</v>
      </c>
      <c r="G1413" s="1" t="str">
        <f t="shared" si="8"/>
        <v>17.12.2013.
do zaključenja Ugovora za pružanje odvjetničkih usluga za 2014. godinu</v>
      </c>
      <c r="H1413" s="1" t="str">
        <f>CONCATENATE("PILIPOVIĆ ŽELJKA,, ODVJETNICA, ZAGREB")</f>
        <v>PILIPOVIĆ ŽELJKA,, ODVJETNICA, ZAGREB</v>
      </c>
      <c r="I1413" s="1" t="s">
        <v>504</v>
      </c>
      <c r="J1413" s="11"/>
      <c r="K1413" s="2"/>
    </row>
    <row r="1414" spans="1:11" ht="63" x14ac:dyDescent="0.25">
      <c r="A1414" s="1" t="str">
        <f>"36/2014"</f>
        <v>36/2014</v>
      </c>
      <c r="B1414" s="1" t="s">
        <v>14</v>
      </c>
      <c r="C1414" s="1" t="s">
        <v>1924</v>
      </c>
      <c r="D1414" s="1" t="str">
        <f t="shared" si="7"/>
        <v>230-2013-EVV</v>
      </c>
      <c r="E1414" s="1" t="s">
        <v>40</v>
      </c>
      <c r="F1414" s="1" t="s">
        <v>503</v>
      </c>
      <c r="G1414" s="1" t="str">
        <f t="shared" si="8"/>
        <v>17.12.2013.
do zaključenja Ugovora za pružanje odvjetničkih usluga za 2014. godinu</v>
      </c>
      <c r="H1414" s="1" t="str">
        <f>CONCATENATE("CENIĆ MAJA, ODVJETNICA, ZAGREB")</f>
        <v>CENIĆ MAJA, ODVJETNICA, ZAGREB</v>
      </c>
      <c r="I1414" s="1" t="s">
        <v>504</v>
      </c>
      <c r="J1414" s="11"/>
      <c r="K1414" s="2"/>
    </row>
    <row r="1415" spans="1:11" ht="63" x14ac:dyDescent="0.25">
      <c r="A1415" s="1" t="str">
        <f>"37/2014"</f>
        <v>37/2014</v>
      </c>
      <c r="B1415" s="1" t="s">
        <v>14</v>
      </c>
      <c r="C1415" s="1" t="s">
        <v>1924</v>
      </c>
      <c r="D1415" s="1" t="str">
        <f t="shared" si="7"/>
        <v>230-2013-EVV</v>
      </c>
      <c r="E1415" s="1" t="s">
        <v>40</v>
      </c>
      <c r="F1415" s="1" t="s">
        <v>503</v>
      </c>
      <c r="G1415" s="1" t="str">
        <f t="shared" si="8"/>
        <v>17.12.2013.
do zaključenja Ugovora za pružanje odvjetničkih usluga za 2014. godinu</v>
      </c>
      <c r="H1415" s="1" t="str">
        <f>CONCATENATE("KRSNIK KREŠIMIR, ODVJETNIK, ZAGREB")</f>
        <v>KRSNIK KREŠIMIR, ODVJETNIK, ZAGREB</v>
      </c>
      <c r="I1415" s="1" t="s">
        <v>504</v>
      </c>
      <c r="J1415" s="11"/>
      <c r="K1415" s="2"/>
    </row>
    <row r="1416" spans="1:11" ht="63" x14ac:dyDescent="0.25">
      <c r="A1416" s="1" t="str">
        <f>"38/2014"</f>
        <v>38/2014</v>
      </c>
      <c r="B1416" s="1" t="s">
        <v>14</v>
      </c>
      <c r="C1416" s="1" t="s">
        <v>1924</v>
      </c>
      <c r="D1416" s="1" t="str">
        <f t="shared" si="7"/>
        <v>230-2013-EVV</v>
      </c>
      <c r="E1416" s="1" t="s">
        <v>40</v>
      </c>
      <c r="F1416" s="1" t="s">
        <v>503</v>
      </c>
      <c r="G1416" s="1" t="str">
        <f t="shared" si="8"/>
        <v>17.12.2013.
do zaključenja Ugovora za pružanje odvjetničkih usluga za 2014. godinu</v>
      </c>
      <c r="H1416" s="1" t="str">
        <f>CONCATENATE("RAMLJAK MARKO, ODVJETNIK, ZAGREB")</f>
        <v>RAMLJAK MARKO, ODVJETNIK, ZAGREB</v>
      </c>
      <c r="I1416" s="1" t="s">
        <v>504</v>
      </c>
      <c r="J1416" s="11"/>
      <c r="K1416" s="2"/>
    </row>
    <row r="1417" spans="1:11" ht="63" customHeight="1" x14ac:dyDescent="0.25">
      <c r="A1417" s="1" t="str">
        <f>"39/2014"</f>
        <v>39/2014</v>
      </c>
      <c r="B1417" s="1" t="s">
        <v>14</v>
      </c>
      <c r="C1417" s="1" t="s">
        <v>1924</v>
      </c>
      <c r="D1417" s="1" t="str">
        <f t="shared" si="7"/>
        <v>230-2013-EVV</v>
      </c>
      <c r="E1417" s="1" t="s">
        <v>40</v>
      </c>
      <c r="F1417" s="1" t="s">
        <v>503</v>
      </c>
      <c r="G1417" s="1" t="str">
        <f t="shared" si="8"/>
        <v>17.12.2013.
do zaključenja Ugovora za pružanje odvjetničkih usluga za 2014. godinu</v>
      </c>
      <c r="H1417" s="1" t="str">
        <f>CONCATENATE("ODVJETNIČKO DRUŠTVO LEKO I PARTNERI D.O.O., ZAGREB")</f>
        <v>ODVJETNIČKO DRUŠTVO LEKO I PARTNERI D.O.O., ZAGREB</v>
      </c>
      <c r="I1417" s="1" t="s">
        <v>504</v>
      </c>
      <c r="J1417" s="11"/>
      <c r="K1417" s="2"/>
    </row>
    <row r="1418" spans="1:11" ht="63" x14ac:dyDescent="0.25">
      <c r="A1418" s="1" t="str">
        <f>"40/2014"</f>
        <v>40/2014</v>
      </c>
      <c r="B1418" s="1" t="s">
        <v>14</v>
      </c>
      <c r="C1418" s="1" t="s">
        <v>1924</v>
      </c>
      <c r="D1418" s="1" t="str">
        <f t="shared" si="7"/>
        <v>230-2013-EVV</v>
      </c>
      <c r="E1418" s="1" t="s">
        <v>40</v>
      </c>
      <c r="F1418" s="1" t="s">
        <v>503</v>
      </c>
      <c r="G1418" s="1" t="str">
        <f t="shared" si="8"/>
        <v>17.12.2013.
do zaključenja Ugovora za pružanje odvjetničkih usluga za 2014. godinu</v>
      </c>
      <c r="H1418" s="1" t="str">
        <f>CONCATENATE("RUBEŠA TIHOMIR, ODVJETNIK, ZAGREB")</f>
        <v>RUBEŠA TIHOMIR, ODVJETNIK, ZAGREB</v>
      </c>
      <c r="I1418" s="1" t="s">
        <v>504</v>
      </c>
      <c r="J1418" s="11"/>
      <c r="K1418" s="2"/>
    </row>
    <row r="1419" spans="1:11" ht="63" x14ac:dyDescent="0.25">
      <c r="A1419" s="1" t="str">
        <f>"41/2014"</f>
        <v>41/2014</v>
      </c>
      <c r="B1419" s="1" t="s">
        <v>14</v>
      </c>
      <c r="C1419" s="1" t="s">
        <v>1924</v>
      </c>
      <c r="D1419" s="1" t="str">
        <f t="shared" si="7"/>
        <v>230-2013-EVV</v>
      </c>
      <c r="E1419" s="1" t="s">
        <v>40</v>
      </c>
      <c r="F1419" s="1" t="s">
        <v>503</v>
      </c>
      <c r="G1419" s="1" t="str">
        <f t="shared" si="8"/>
        <v>17.12.2013.
do zaključenja Ugovora za pružanje odvjetničkih usluga za 2014. godinu</v>
      </c>
      <c r="H1419" s="1" t="str">
        <f>CONCATENATE("ANTOLIĆ I SURADNICI, ODVJETNIČKO DRUŠTVO, JAVNO TRGOVAČKO DRUŠTVO, ZAGREB")</f>
        <v>ANTOLIĆ I SURADNICI, ODVJETNIČKO DRUŠTVO, JAVNO TRGOVAČKO DRUŠTVO, ZAGREB</v>
      </c>
      <c r="I1419" s="1" t="s">
        <v>504</v>
      </c>
      <c r="J1419" s="11"/>
      <c r="K1419" s="2"/>
    </row>
    <row r="1420" spans="1:11" ht="63" x14ac:dyDescent="0.25">
      <c r="A1420" s="1" t="str">
        <f>"42/2014"</f>
        <v>42/2014</v>
      </c>
      <c r="B1420" s="1" t="s">
        <v>14</v>
      </c>
      <c r="C1420" s="1" t="s">
        <v>1924</v>
      </c>
      <c r="D1420" s="1" t="str">
        <f t="shared" si="7"/>
        <v>230-2013-EVV</v>
      </c>
      <c r="E1420" s="1" t="s">
        <v>40</v>
      </c>
      <c r="F1420" s="1" t="s">
        <v>503</v>
      </c>
      <c r="G1420" s="1" t="str">
        <f t="shared" si="8"/>
        <v>17.12.2013.
do zaključenja Ugovora za pružanje odvjetničkih usluga za 2014. godinu</v>
      </c>
      <c r="H1420" s="1" t="str">
        <f>CONCATENATE("ĆUTUK IVICA, ODVJETNIK, ZAGREB")</f>
        <v>ĆUTUK IVICA, ODVJETNIK, ZAGREB</v>
      </c>
      <c r="I1420" s="1" t="s">
        <v>504</v>
      </c>
      <c r="J1420" s="11"/>
      <c r="K1420" s="2"/>
    </row>
    <row r="1421" spans="1:11" ht="63" x14ac:dyDescent="0.25">
      <c r="A1421" s="1" t="str">
        <f>"43/2014"</f>
        <v>43/2014</v>
      </c>
      <c r="B1421" s="1" t="s">
        <v>14</v>
      </c>
      <c r="C1421" s="1" t="s">
        <v>1924</v>
      </c>
      <c r="D1421" s="1" t="str">
        <f t="shared" si="7"/>
        <v>230-2013-EVV</v>
      </c>
      <c r="E1421" s="1" t="s">
        <v>40</v>
      </c>
      <c r="F1421" s="1" t="s">
        <v>503</v>
      </c>
      <c r="G1421" s="1" t="str">
        <f t="shared" si="8"/>
        <v>17.12.2013.
do zaključenja Ugovora za pružanje odvjetničkih usluga za 2014. godinu</v>
      </c>
      <c r="H1421" s="1" t="str">
        <f>CONCATENATE("ODVJETNIČKO DRUŠTVO MAĐARIĆ &amp; LUI D.O.O., ZAGREB")</f>
        <v>ODVJETNIČKO DRUŠTVO MAĐARIĆ &amp; LUI D.O.O., ZAGREB</v>
      </c>
      <c r="I1421" s="1" t="s">
        <v>504</v>
      </c>
      <c r="J1421" s="11"/>
      <c r="K1421" s="2"/>
    </row>
    <row r="1422" spans="1:11" ht="63" x14ac:dyDescent="0.25">
      <c r="A1422" s="1" t="str">
        <f>"44/2014"</f>
        <v>44/2014</v>
      </c>
      <c r="B1422" s="1" t="s">
        <v>14</v>
      </c>
      <c r="C1422" s="1" t="s">
        <v>1924</v>
      </c>
      <c r="D1422" s="1" t="str">
        <f t="shared" si="7"/>
        <v>230-2013-EVV</v>
      </c>
      <c r="E1422" s="1" t="s">
        <v>40</v>
      </c>
      <c r="F1422" s="1" t="s">
        <v>503</v>
      </c>
      <c r="G1422" s="1" t="str">
        <f t="shared" si="8"/>
        <v>17.12.2013.
do zaključenja Ugovora za pružanje odvjetničkih usluga za 2014. godinu</v>
      </c>
      <c r="H1422" s="1" t="str">
        <f>CONCATENATE("HUKELJ ANITA, ODVJETNICA, ZAGREB")</f>
        <v>HUKELJ ANITA, ODVJETNICA, ZAGREB</v>
      </c>
      <c r="I1422" s="1" t="s">
        <v>504</v>
      </c>
      <c r="J1422" s="11"/>
      <c r="K1422" s="2"/>
    </row>
    <row r="1423" spans="1:11" ht="63" x14ac:dyDescent="0.25">
      <c r="A1423" s="1" t="str">
        <f>"45/2014"</f>
        <v>45/2014</v>
      </c>
      <c r="B1423" s="1" t="s">
        <v>14</v>
      </c>
      <c r="C1423" s="1" t="s">
        <v>1924</v>
      </c>
      <c r="D1423" s="1" t="str">
        <f t="shared" si="7"/>
        <v>230-2013-EVV</v>
      </c>
      <c r="E1423" s="1" t="s">
        <v>40</v>
      </c>
      <c r="F1423" s="1" t="s">
        <v>503</v>
      </c>
      <c r="G1423" s="1" t="str">
        <f t="shared" si="8"/>
        <v>17.12.2013.
do zaključenja Ugovora za pružanje odvjetničkih usluga za 2014. godinu</v>
      </c>
      <c r="H1423" s="1" t="str">
        <f>CONCATENATE("KNEZOVIĆ VINKO, ODVJETNIK, ZAGREB")</f>
        <v>KNEZOVIĆ VINKO, ODVJETNIK, ZAGREB</v>
      </c>
      <c r="I1423" s="1" t="s">
        <v>504</v>
      </c>
      <c r="J1423" s="11"/>
      <c r="K1423" s="2"/>
    </row>
    <row r="1424" spans="1:11" ht="63" x14ac:dyDescent="0.25">
      <c r="A1424" s="1" t="str">
        <f>"46/2014"</f>
        <v>46/2014</v>
      </c>
      <c r="B1424" s="1" t="s">
        <v>14</v>
      </c>
      <c r="C1424" s="1" t="s">
        <v>1924</v>
      </c>
      <c r="D1424" s="1" t="str">
        <f t="shared" si="7"/>
        <v>230-2013-EVV</v>
      </c>
      <c r="E1424" s="1" t="s">
        <v>40</v>
      </c>
      <c r="F1424" s="1" t="s">
        <v>503</v>
      </c>
      <c r="G1424" s="1" t="str">
        <f t="shared" si="8"/>
        <v>17.12.2013.
do zaključenja Ugovora za pružanje odvjetničkih usluga za 2014. godinu</v>
      </c>
      <c r="H1424" s="1" t="str">
        <f>CONCATENATE("ODVJETNIČKO DRUŠTVO HANŽEKOVIĆ &amp; PARTNERI D.O.O., ZAGREB")</f>
        <v>ODVJETNIČKO DRUŠTVO HANŽEKOVIĆ &amp; PARTNERI D.O.O., ZAGREB</v>
      </c>
      <c r="I1424" s="1" t="s">
        <v>504</v>
      </c>
      <c r="J1424" s="9"/>
      <c r="K1424" s="2"/>
    </row>
    <row r="1425" spans="1:11" ht="47.25" x14ac:dyDescent="0.25">
      <c r="A1425" s="1" t="str">
        <f>"47/2014"</f>
        <v>47/2014</v>
      </c>
      <c r="B1425" s="1" t="s">
        <v>14</v>
      </c>
      <c r="C1425" s="1" t="s">
        <v>2639</v>
      </c>
      <c r="D1425" s="1" t="str">
        <f>CONCATENATE("2790-2013-EMV",CHAR(10),"2013/S 002-0073925 od 30.08.2013.")</f>
        <v>2790-2013-EMV
2013/S 002-0073925 od 30.08.2013.</v>
      </c>
      <c r="E1425" s="1" t="s">
        <v>15</v>
      </c>
      <c r="F1425" s="1" t="str">
        <f>"69.000,00"</f>
        <v>69.000,00</v>
      </c>
      <c r="G1425" s="1" t="str">
        <f>CONCATENATE("24.01.2014.",CHAR(10),"30 dana")</f>
        <v>24.01.2014.
30 dana</v>
      </c>
      <c r="H1425" s="1" t="str">
        <f>CONCATENATE("PROMPT D.O.O., ZAGREB")</f>
        <v>PROMPT D.O.O., ZAGREB</v>
      </c>
      <c r="I1425" s="2"/>
      <c r="J1425" s="7"/>
      <c r="K1425" s="2"/>
    </row>
    <row r="1426" spans="1:11" ht="47.25" x14ac:dyDescent="0.25">
      <c r="A1426" s="1" t="str">
        <f>"A-7/2014"</f>
        <v>A-7/2014</v>
      </c>
      <c r="B1426" s="1" t="s">
        <v>11</v>
      </c>
      <c r="C1426" s="1" t="s">
        <v>505</v>
      </c>
      <c r="D1426" s="1" t="str">
        <f>"2511-2012-EMV"</f>
        <v>2511-2012-EMV</v>
      </c>
      <c r="E1426" s="2"/>
      <c r="F1426" s="1" t="str">
        <f>"0,00"</f>
        <v>0,00</v>
      </c>
      <c r="G1426" s="1" t="str">
        <f>CONCATENATE("24.01.2014.",CHAR(10),"60 dana")</f>
        <v>24.01.2014.
60 dana</v>
      </c>
      <c r="H1426" s="1" t="str">
        <f>CONCATENATE("ASK ATELIER D.O.O., ZAGREB")</f>
        <v>ASK ATELIER D.O.O., ZAGREB</v>
      </c>
      <c r="I1426" s="2"/>
      <c r="J1426" s="1"/>
      <c r="K1426" s="2"/>
    </row>
    <row r="1427" spans="1:11" ht="47.25" x14ac:dyDescent="0.25">
      <c r="A1427" s="1" t="str">
        <f>"48/2014"</f>
        <v>48/2014</v>
      </c>
      <c r="B1427" s="1" t="s">
        <v>14</v>
      </c>
      <c r="C1427" s="1" t="s">
        <v>2640</v>
      </c>
      <c r="D1427" s="1" t="str">
        <f>CONCATENATE("1917-2013-EMV",CHAR(10),"2013/S 002-0090754 od 04.10.2013.")</f>
        <v>1917-2013-EMV
2013/S 002-0090754 od 04.10.2013.</v>
      </c>
      <c r="E1427" s="1" t="s">
        <v>15</v>
      </c>
      <c r="F1427" s="1" t="str">
        <f>"116.000,00"</f>
        <v>116.000,00</v>
      </c>
      <c r="G1427" s="1" t="str">
        <f>CONCATENATE("24.01.2014.",CHAR(10),"3 mjeseca")</f>
        <v>24.01.2014.
3 mjeseca</v>
      </c>
      <c r="H1427" s="1" t="str">
        <f>CONCATENATE("SPEKTAR GRADNJA D.O.O., ZAGREB")</f>
        <v>SPEKTAR GRADNJA D.O.O., ZAGREB</v>
      </c>
      <c r="I1427" s="1" t="s">
        <v>477</v>
      </c>
      <c r="J1427" s="1" t="str">
        <f>SUBSTITUTE(SUBSTITUTE(SUBSTITUTE("145,000.00",".","-"),",","."),"-",",")</f>
        <v>145.000,00</v>
      </c>
      <c r="K1427" s="2"/>
    </row>
    <row r="1428" spans="1:11" ht="47.25" x14ac:dyDescent="0.25">
      <c r="A1428" s="1" t="str">
        <f>"50/2014"</f>
        <v>50/2014</v>
      </c>
      <c r="B1428" s="1" t="s">
        <v>14</v>
      </c>
      <c r="C1428" s="1" t="s">
        <v>2641</v>
      </c>
      <c r="D1428" s="1" t="str">
        <f>CONCATENATE("2855-2013-EMV",CHAR(10),"2013/S 002-0092086 od 07.11.2013.")</f>
        <v>2855-2013-EMV
2013/S 002-0092086 od 07.11.2013.</v>
      </c>
      <c r="E1428" s="1" t="s">
        <v>15</v>
      </c>
      <c r="F1428" s="1" t="str">
        <f>"155.186,00"</f>
        <v>155.186,00</v>
      </c>
      <c r="G1428" s="1" t="str">
        <f>CONCATENATE("29.01.2014.",CHAR(10),"3 mjeseca")</f>
        <v>29.01.2014.
3 mjeseca</v>
      </c>
      <c r="H1428" s="1" t="str">
        <f>CONCATENATE("MONTEL D.O.O., ZAGREB")</f>
        <v>MONTEL D.O.O., ZAGREB</v>
      </c>
      <c r="I1428" s="1" t="s">
        <v>330</v>
      </c>
      <c r="J1428" s="1" t="str">
        <f>SUBSTITUTE(SUBSTITUTE(SUBSTITUTE("193,982.50",".","-"),",","."),"-",",")</f>
        <v>193.982,50</v>
      </c>
      <c r="K1428" s="2"/>
    </row>
    <row r="1429" spans="1:11" ht="94.5" x14ac:dyDescent="0.25">
      <c r="A1429" s="1" t="str">
        <f>"51/2014"</f>
        <v>51/2014</v>
      </c>
      <c r="B1429" s="1" t="s">
        <v>14</v>
      </c>
      <c r="C1429" s="1" t="s">
        <v>2642</v>
      </c>
      <c r="D1429" s="1" t="str">
        <f>CONCATENATE("1921-2013-EMV",CHAR(10),"2013/S 002-0088909 od 25.10.2013.")</f>
        <v>1921-2013-EMV
2013/S 002-0088909 od 25.10.2013.</v>
      </c>
      <c r="E1429" s="1" t="s">
        <v>15</v>
      </c>
      <c r="F1429" s="1" t="str">
        <f>"73.000,00"</f>
        <v>73.000,00</v>
      </c>
      <c r="G1429" s="1" t="str">
        <f>CONCATENATE("29.01.2014.",CHAR(10),"12 mjeseci")</f>
        <v>29.01.2014.
12 mjeseci</v>
      </c>
      <c r="H1429" s="1" t="str">
        <f>CONCATENATE("ARHINGTRADE D.O.O., ZAGREB")</f>
        <v>ARHINGTRADE D.O.O., ZAGREB</v>
      </c>
      <c r="I1429" s="2"/>
      <c r="J1429" s="1"/>
      <c r="K1429" s="2"/>
    </row>
    <row r="1430" spans="1:11" ht="63" x14ac:dyDescent="0.25">
      <c r="A1430" s="1" t="str">
        <f>"52/2014"</f>
        <v>52/2014</v>
      </c>
      <c r="B1430" s="1" t="s">
        <v>14</v>
      </c>
      <c r="C1430" s="1" t="s">
        <v>2643</v>
      </c>
      <c r="D1430" s="1" t="str">
        <f>CONCATENATE("2784-2013-EMV",CHAR(10),"2013/S 002-0084662 od 11.11.2013.")</f>
        <v>2784-2013-EMV
2013/S 002-0084662 od 11.11.2013.</v>
      </c>
      <c r="E1430" s="1" t="s">
        <v>15</v>
      </c>
      <c r="F1430" s="1" t="str">
        <f>"90.000,00"</f>
        <v>90.000,00</v>
      </c>
      <c r="G1430" s="1" t="str">
        <f>CONCATENATE("29.01.2014.",CHAR(10),"90 dana")</f>
        <v>29.01.2014.
90 dana</v>
      </c>
      <c r="H1430" s="1" t="str">
        <f>CONCATENATE("URBANISTIČKI ZAVOD GRADA ZAGREBA D.O.O., ZAGREB")</f>
        <v>URBANISTIČKI ZAVOD GRADA ZAGREBA D.O.O., ZAGREB</v>
      </c>
      <c r="I1430" s="2"/>
      <c r="J1430" s="1"/>
      <c r="K1430" s="2"/>
    </row>
    <row r="1431" spans="1:11" ht="47.25" x14ac:dyDescent="0.25">
      <c r="A1431" s="1" t="str">
        <f>"53/2014"</f>
        <v>53/2014</v>
      </c>
      <c r="B1431" s="1" t="s">
        <v>14</v>
      </c>
      <c r="C1431" s="1" t="s">
        <v>2644</v>
      </c>
      <c r="D1431" s="1" t="str">
        <f>CONCATENATE("2858-2013-EMV",CHAR(10),"2013/S 002-0092783 od 11.11.2013.")</f>
        <v>2858-2013-EMV
2013/S 002-0092783 od 11.11.2013.</v>
      </c>
      <c r="E1431" s="1" t="s">
        <v>15</v>
      </c>
      <c r="F1431" s="1" t="str">
        <f>"9.508.372,65"</f>
        <v>9.508.372,65</v>
      </c>
      <c r="G1431" s="1" t="str">
        <f>CONCATENATE("29.01.2014.",CHAR(10),"6 mjeseci")</f>
        <v>29.01.2014.
6 mjeseci</v>
      </c>
      <c r="H1431" s="1" t="str">
        <f>CONCATENATE("HM-PATRIA D.O.O., ZAGREB")</f>
        <v>HM-PATRIA D.O.O., ZAGREB</v>
      </c>
      <c r="I1431" s="2"/>
      <c r="J1431" s="1"/>
      <c r="K1431" s="2"/>
    </row>
    <row r="1432" spans="1:11" ht="31.5" x14ac:dyDescent="0.25">
      <c r="A1432" s="1" t="str">
        <f>"54/2014"</f>
        <v>54/2014</v>
      </c>
      <c r="B1432" s="1" t="s">
        <v>26</v>
      </c>
      <c r="C1432" s="1" t="s">
        <v>2645</v>
      </c>
      <c r="D1432" s="1" t="str">
        <f>"2011-525"</f>
        <v>2011-525</v>
      </c>
      <c r="E1432" s="2"/>
      <c r="F1432" s="1" t="str">
        <f>"463.320,00"</f>
        <v>463.320,00</v>
      </c>
      <c r="G1432" s="1" t="str">
        <f>CONCATENATE("29.01.2014.",CHAR(10),"12 mjeseci")</f>
        <v>29.01.2014.
12 mjeseci</v>
      </c>
      <c r="H1432" s="1" t="str">
        <f>CONCATENATE("PETROL D.O.O., ZAGREB")</f>
        <v>PETROL D.O.O., ZAGREB</v>
      </c>
      <c r="I1432" s="2"/>
      <c r="J1432" s="1"/>
      <c r="K1432" s="2"/>
    </row>
    <row r="1433" spans="1:11" ht="63" x14ac:dyDescent="0.25">
      <c r="A1433" s="1" t="str">
        <f>"A-8/2014"</f>
        <v>A-8/2014</v>
      </c>
      <c r="B1433" s="1" t="s">
        <v>11</v>
      </c>
      <c r="C1433" s="1" t="s">
        <v>506</v>
      </c>
      <c r="D1433" s="1" t="str">
        <f>"1960-2012-EMV"</f>
        <v>1960-2012-EMV</v>
      </c>
      <c r="E1433" s="2"/>
      <c r="F1433" s="1" t="str">
        <f>"0,00"</f>
        <v>0,00</v>
      </c>
      <c r="G1433" s="1" t="str">
        <f>CONCATENATE("29.01.2014.",CHAR(10),"do 30.6.2014")</f>
        <v>29.01.2014.
do 30.6.2014</v>
      </c>
      <c r="H1433" s="1" t="str">
        <f>CONCATENATE("1. Zajednica ponuditelja: ",CHAR(10),"    CAPITAL ING D.O.O., ZAGREB",CHAR(10),"    GEO GRUPA D.O.O., ZAGREB")</f>
        <v>1. Zajednica ponuditelja: 
    CAPITAL ING D.O.O., ZAGREB
    GEO GRUPA D.O.O., ZAGREB</v>
      </c>
      <c r="I1433" s="2"/>
      <c r="J1433" s="1"/>
      <c r="K1433" s="2"/>
    </row>
    <row r="1434" spans="1:11" ht="47.25" x14ac:dyDescent="0.25">
      <c r="A1434" s="1" t="str">
        <f>"55/2014"</f>
        <v>55/2014</v>
      </c>
      <c r="B1434" s="1" t="s">
        <v>14</v>
      </c>
      <c r="C1434" s="1" t="s">
        <v>2646</v>
      </c>
      <c r="D1434" s="1" t="str">
        <f>CONCATENATE("756-2012-EMV",CHAR(10),"2012/S 002-0028331 od 08.06.2012.")</f>
        <v>756-2012-EMV
2012/S 002-0028331 od 08.06.2012.</v>
      </c>
      <c r="E1434" s="1" t="s">
        <v>15</v>
      </c>
      <c r="F1434" s="1" t="str">
        <f>"4.460.015,60"</f>
        <v>4.460.015,60</v>
      </c>
      <c r="G1434" s="1" t="str">
        <f>CONCATENATE("29.01.2014.",CHAR(10),"24 mjeseca")</f>
        <v>29.01.2014.
24 mjeseca</v>
      </c>
      <c r="H1434" s="1" t="str">
        <f>CONCATENATE("TEH-GRADNJA D.O.O., ZAGREB")</f>
        <v>TEH-GRADNJA D.O.O., ZAGREB</v>
      </c>
      <c r="I1434" s="2"/>
      <c r="J1434" s="1"/>
      <c r="K1434" s="2"/>
    </row>
    <row r="1435" spans="1:11" ht="47.25" x14ac:dyDescent="0.25">
      <c r="A1435" s="1" t="str">
        <f>"A-9/2014"</f>
        <v>A-9/2014</v>
      </c>
      <c r="B1435" s="1" t="s">
        <v>11</v>
      </c>
      <c r="C1435" s="1" t="s">
        <v>507</v>
      </c>
      <c r="D1435" s="1" t="str">
        <f>"517-2013-EMV"</f>
        <v>517-2013-EMV</v>
      </c>
      <c r="E1435" s="2"/>
      <c r="F1435" s="1" t="str">
        <f>"0,00"</f>
        <v>0,00</v>
      </c>
      <c r="G1435" s="1" t="str">
        <f>CONCATENATE("30.01.2014.",CHAR(10),"150 dana od dana uvođenja u posao")</f>
        <v>30.01.2014.
150 dana od dana uvođenja u posao</v>
      </c>
      <c r="H1435" s="1" t="str">
        <f>CONCATENATE("PROSPERITAS GRADNJA D.O.O., VRBOVEC")</f>
        <v>PROSPERITAS GRADNJA D.O.O., VRBOVEC</v>
      </c>
      <c r="I1435" s="2"/>
      <c r="J1435" s="1"/>
      <c r="K1435" s="2"/>
    </row>
    <row r="1436" spans="1:11" ht="63" x14ac:dyDescent="0.25">
      <c r="A1436" s="1" t="str">
        <f>"56/2014"</f>
        <v>56/2014</v>
      </c>
      <c r="B1436" s="1" t="s">
        <v>14</v>
      </c>
      <c r="C1436" s="1" t="s">
        <v>2647</v>
      </c>
      <c r="D1436" s="1" t="str">
        <f>CONCATENATE("2207-2013-EMV",CHAR(10),"2013/S 002-0059918 od 04.07.2013.")</f>
        <v>2207-2013-EMV
2013/S 002-0059918 od 04.07.2013.</v>
      </c>
      <c r="E1436" s="1" t="s">
        <v>15</v>
      </c>
      <c r="F1436" s="1" t="str">
        <f>"1.226.485,10"</f>
        <v>1.226.485,10</v>
      </c>
      <c r="G1436" s="1" t="str">
        <f>CONCATENATE("30.01.2014.",CHAR(10),"3 mjeseca")</f>
        <v>30.01.2014.
3 mjeseca</v>
      </c>
      <c r="H1436" s="1" t="str">
        <f>CONCATENATE("1. Zajednica ponuditelja: ",CHAR(10),"    PRIGORAC-GRAĐENJE D.O.O., SESVETE",CHAR(10),"    MGV D.O.O., ZAGREB")</f>
        <v>1. Zajednica ponuditelja: 
    PRIGORAC-GRAĐENJE D.O.O., SESVETE
    MGV D.O.O., ZAGREB</v>
      </c>
      <c r="I1436" s="2"/>
      <c r="J1436" s="1"/>
      <c r="K1436" s="2"/>
    </row>
    <row r="1437" spans="1:11" ht="78.75" x14ac:dyDescent="0.25">
      <c r="A1437" s="1" t="str">
        <f>"57/2014"</f>
        <v>57/2014</v>
      </c>
      <c r="B1437" s="1" t="s">
        <v>14</v>
      </c>
      <c r="C1437" s="1" t="s">
        <v>2648</v>
      </c>
      <c r="D1437" s="1" t="str">
        <f>CONCATENATE("2850-2013-EMV",CHAR(10),"2013/S 002-0088544 od 24.10.2013.")</f>
        <v>2850-2013-EMV
2013/S 002-0088544 od 24.10.2013.</v>
      </c>
      <c r="E1437" s="1" t="s">
        <v>15</v>
      </c>
      <c r="F1437" s="1" t="str">
        <f>"408.907,37"</f>
        <v>408.907,37</v>
      </c>
      <c r="G1437" s="1" t="str">
        <f>CONCATENATE("31.01.2014.",CHAR(10),"5 mjeseci")</f>
        <v>31.01.2014.
5 mjeseci</v>
      </c>
      <c r="H1437" s="1" t="str">
        <f>CONCATENATE("1. Zajednica ponuditelja: ",CHAR(10),"    PRIMA PARS D.O.O., ZAGREB",CHAR(10),"    BESTPROJEKT D.O.O., ZAGREB",CHAR(10),"    D&amp;Z D.O.O., ZADAR",CHAR(10),"2. D&amp;Z D.O.O., ZADAR")</f>
        <v>1. Zajednica ponuditelja: 
    PRIMA PARS D.O.O., ZAGREB
    BESTPROJEKT D.O.O., ZAGREB
    D&amp;Z D.O.O., ZADAR
2. D&amp;Z D.O.O., ZADAR</v>
      </c>
      <c r="I1437" s="1" t="s">
        <v>286</v>
      </c>
      <c r="J1437" s="1" t="str">
        <f>SUBSTITUTE(SUBSTITUTE(SUBSTITUTE("408,907.37",".","-"),",","."),"-",",")</f>
        <v>408.907,37</v>
      </c>
      <c r="K1437" s="2"/>
    </row>
    <row r="1438" spans="1:11" ht="47.25" x14ac:dyDescent="0.25">
      <c r="A1438" s="1" t="str">
        <f>"58/2014"</f>
        <v>58/2014</v>
      </c>
      <c r="B1438" s="1" t="s">
        <v>14</v>
      </c>
      <c r="C1438" s="1" t="s">
        <v>1950</v>
      </c>
      <c r="D1438" s="1" t="str">
        <f>CONCATENATE("1191-2013-EVV",CHAR(10),"2013/S 002-0078981 od 20.09.2013.")</f>
        <v>1191-2013-EVV
2013/S 002-0078981 od 20.09.2013.</v>
      </c>
      <c r="E1438" s="1" t="s">
        <v>15</v>
      </c>
      <c r="F1438" s="1" t="str">
        <f>"1.424.035,00"</f>
        <v>1.424.035,00</v>
      </c>
      <c r="G1438" s="1" t="str">
        <f>CONCATENATE("31.01.2014.",CHAR(10),"12 mjeseci")</f>
        <v>31.01.2014.
12 mjeseci</v>
      </c>
      <c r="H1438" s="1" t="str">
        <f>CONCATENATE("LIPAPROMET D.O.O., ZAGREB")</f>
        <v>LIPAPROMET D.O.O., ZAGREB</v>
      </c>
      <c r="I1438" s="2"/>
      <c r="J1438" s="1"/>
      <c r="K1438" s="2"/>
    </row>
    <row r="1439" spans="1:11" ht="47.25" x14ac:dyDescent="0.25">
      <c r="A1439" s="1" t="str">
        <f>"A-10/2014"</f>
        <v>A-10/2014</v>
      </c>
      <c r="B1439" s="1" t="s">
        <v>11</v>
      </c>
      <c r="C1439" s="1" t="s">
        <v>508</v>
      </c>
      <c r="D1439" s="1" t="str">
        <f>"484-2013-EMV"</f>
        <v>484-2013-EMV</v>
      </c>
      <c r="E1439" s="2"/>
      <c r="F1439" s="1" t="str">
        <f>"0,00"</f>
        <v>0,00</v>
      </c>
      <c r="G1439" s="1" t="str">
        <f>CONCATENATE("31.01.2014.",CHAR(10),"94 dana od dana uvođenja u posao")</f>
        <v>31.01.2014.
94 dana od dana uvođenja u posao</v>
      </c>
      <c r="H1439" s="1" t="str">
        <f>CONCATENATE("GRADIMONT D.O.O., ZAGREB")</f>
        <v>GRADIMONT D.O.O., ZAGREB</v>
      </c>
      <c r="I1439" s="2"/>
      <c r="J1439" s="1"/>
      <c r="K1439" s="2"/>
    </row>
    <row r="1440" spans="1:11" ht="47.25" x14ac:dyDescent="0.25">
      <c r="A1440" s="1" t="str">
        <f>"59/2014"</f>
        <v>59/2014</v>
      </c>
      <c r="B1440" s="1" t="s">
        <v>136</v>
      </c>
      <c r="C1440" s="1" t="s">
        <v>1447</v>
      </c>
      <c r="D1440" s="1" t="str">
        <f>CONCATENATE("193-2013-EMV",CHAR(10),"2013-S 002-0031169 od 04.04.2013.")</f>
        <v>193-2013-EMV
2013-S 002-0031169 od 04.04.2013.</v>
      </c>
      <c r="E1440" s="1" t="s">
        <v>366</v>
      </c>
      <c r="F1440" s="1" t="str">
        <f>"440.750,81"</f>
        <v>440.750,81</v>
      </c>
      <c r="G1440" s="1" t="str">
        <f>CONCATENATE("05.02.2014.",CHAR(10),"2 godine")</f>
        <v>05.02.2014.
2 godine</v>
      </c>
      <c r="H1440" s="1" t="str">
        <f>CONCATENATE("ENEL ATM D.O.O., ZAGREB")</f>
        <v>ENEL ATM D.O.O., ZAGREB</v>
      </c>
      <c r="I1440" s="2"/>
      <c r="J1440" s="1"/>
      <c r="K1440" s="2"/>
    </row>
    <row r="1441" spans="1:11" ht="63" x14ac:dyDescent="0.25">
      <c r="A1441" s="1" t="str">
        <f>"60/2014"</f>
        <v>60/2014</v>
      </c>
      <c r="B1441" s="1" t="s">
        <v>14</v>
      </c>
      <c r="C1441" s="1" t="s">
        <v>2649</v>
      </c>
      <c r="D1441" s="1" t="str">
        <f>CONCATENATE("2741-2013-EMV",CHAR(10),"2013/S 015-0101956 od 18.12.2013.")</f>
        <v>2741-2013-EMV
2013/S 015-0101956 od 18.12.2013.</v>
      </c>
      <c r="E1441" s="1" t="s">
        <v>12</v>
      </c>
      <c r="F1441" s="1" t="str">
        <f>"1.306.708,88"</f>
        <v>1.306.708,88</v>
      </c>
      <c r="G1441" s="1" t="str">
        <f>CONCATENATE("06.02.2014.",CHAR(10),"20 dana")</f>
        <v>06.02.2014.
20 dana</v>
      </c>
      <c r="H1441" s="1" t="str">
        <f>CONCATENATE("GIP PIONIR D.O.O., ZAGREB")</f>
        <v>GIP PIONIR D.O.O., ZAGREB</v>
      </c>
      <c r="I1441" s="1" t="s">
        <v>354</v>
      </c>
      <c r="J1441" s="1" t="str">
        <f>SUBSTITUTE(SUBSTITUTE(SUBSTITUTE("1,633,311.10",".","-"),",","."),"-",",")</f>
        <v>1.633.311,10</v>
      </c>
      <c r="K1441" s="2"/>
    </row>
    <row r="1442" spans="1:11" ht="47.25" x14ac:dyDescent="0.25">
      <c r="A1442" s="1" t="str">
        <f>"61/2014"</f>
        <v>61/2014</v>
      </c>
      <c r="B1442" s="1" t="s">
        <v>14</v>
      </c>
      <c r="C1442" s="1" t="s">
        <v>2650</v>
      </c>
      <c r="D1442" s="1" t="str">
        <f>CONCATENATE("2395-2013-EMV",CHAR(10),"2013/S 002-0090000 od 30.10.2013.")</f>
        <v>2395-2013-EMV
2013/S 002-0090000 od 30.10.2013.</v>
      </c>
      <c r="E1442" s="1" t="s">
        <v>15</v>
      </c>
      <c r="F1442" s="1" t="str">
        <f>"25.000,00"</f>
        <v>25.000,00</v>
      </c>
      <c r="G1442" s="1" t="str">
        <f>CONCATENATE("06.02.2014.",CHAR(10),"12 mjeseci")</f>
        <v>06.02.2014.
12 mjeseci</v>
      </c>
      <c r="H1442" s="1" t="str">
        <f>CONCATENATE("URED OVLAŠTENOG KRAJOBRAZNOG ARHITEKTA -ROBERT DUIĆ, ZAGREB")</f>
        <v>URED OVLAŠTENOG KRAJOBRAZNOG ARHITEKTA -ROBERT DUIĆ, ZAGREB</v>
      </c>
      <c r="I1442" s="1" t="s">
        <v>509</v>
      </c>
      <c r="J1442" s="1" t="str">
        <f>SUBSTITUTE(SUBSTITUTE(SUBSTITUTE("31,250.00",".","-"),",","."),"-",",")</f>
        <v>31.250,00</v>
      </c>
      <c r="K1442" s="2"/>
    </row>
    <row r="1443" spans="1:11" ht="63" x14ac:dyDescent="0.25">
      <c r="A1443" s="1" t="str">
        <f>"62/2014"</f>
        <v>62/2014</v>
      </c>
      <c r="B1443" s="1" t="s">
        <v>14</v>
      </c>
      <c r="C1443" s="1" t="s">
        <v>2651</v>
      </c>
      <c r="D1443" s="1" t="str">
        <f>CONCATENATE("2832-2013-EMV",CHAR(10),"2014/S 015-0002363 od 20.01.2014.")</f>
        <v>2832-2013-EMV
2014/S 015-0002363 od 20.01.2014.</v>
      </c>
      <c r="E1443" s="1" t="s">
        <v>12</v>
      </c>
      <c r="F1443" s="1" t="str">
        <f>"178.000,00"</f>
        <v>178.000,00</v>
      </c>
      <c r="G1443" s="1" t="str">
        <f>CONCATENATE("07.02.2014.",CHAR(10),"60 dana")</f>
        <v>07.02.2014.
60 dana</v>
      </c>
      <c r="H1443" s="1" t="str">
        <f>CONCATENATE("1. Zajednica ponuditelja: ",CHAR(10),"    DARH 2 D.O.O., SAMOBOR",CHAR(10),"    BRODARSKI INSTITUT D.O.O., ZAGREB-NOVI ZAGREB")</f>
        <v>1. Zajednica ponuditelja: 
    DARH 2 D.O.O., SAMOBOR
    BRODARSKI INSTITUT D.O.O., ZAGREB-NOVI ZAGREB</v>
      </c>
      <c r="I1443" s="1" t="s">
        <v>405</v>
      </c>
      <c r="J1443" s="1" t="str">
        <f>SUBSTITUTE(SUBSTITUTE(SUBSTITUTE("222,500.00",".","-"),",","."),"-",",")</f>
        <v>222.500,00</v>
      </c>
      <c r="K1443" s="2"/>
    </row>
    <row r="1444" spans="1:11" ht="78.75" x14ac:dyDescent="0.25">
      <c r="A1444" s="1" t="str">
        <f>"63/2014"</f>
        <v>63/2014</v>
      </c>
      <c r="B1444" s="1" t="s">
        <v>14</v>
      </c>
      <c r="C1444" s="1" t="s">
        <v>2652</v>
      </c>
      <c r="D1444" s="1" t="str">
        <f>CONCATENATE("1983-2013-EMV",CHAR(10),"2013/S 002-009385-0093835 od 14.10.2013.")</f>
        <v>1983-2013-EMV
2013/S 002-009385-0093835 od 14.10.2013.</v>
      </c>
      <c r="E1444" s="1" t="s">
        <v>15</v>
      </c>
      <c r="F1444" s="1" t="str">
        <f>"31.500,00"</f>
        <v>31.500,00</v>
      </c>
      <c r="G1444" s="1" t="str">
        <f>CONCATENATE("07.02.2014.",CHAR(10),"12 mjeseci")</f>
        <v>07.02.2014.
12 mjeseci</v>
      </c>
      <c r="H1444" s="1" t="str">
        <f>CONCATENATE("1. Zajednica ponuditelja: ",CHAR(10),"    PGT ŠKUNCA D.O.O., ZAGREB-SUSEDGRAD",CHAR(10),"    BAU-PROJEKT D.O.O., JASTREBARSKO")</f>
        <v>1. Zajednica ponuditelja: 
    PGT ŠKUNCA D.O.O., ZAGREB-SUSEDGRAD
    BAU-PROJEKT D.O.O., JASTREBARSKO</v>
      </c>
      <c r="I1444" s="2"/>
      <c r="J1444" s="1"/>
      <c r="K1444" s="2"/>
    </row>
    <row r="1445" spans="1:11" ht="47.25" x14ac:dyDescent="0.25">
      <c r="A1445" s="1" t="str">
        <f>"64/2014"</f>
        <v>64/2014</v>
      </c>
      <c r="B1445" s="1" t="s">
        <v>14</v>
      </c>
      <c r="C1445" s="1" t="s">
        <v>2653</v>
      </c>
      <c r="D1445" s="1" t="str">
        <f>CONCATENATE("2854-2013-EMV",CHAR(10),"2013/S 002-0091158 od 04.11.2013.")</f>
        <v>2854-2013-EMV
2013/S 002-0091158 od 04.11.2013.</v>
      </c>
      <c r="E1445" s="1" t="s">
        <v>15</v>
      </c>
      <c r="F1445" s="1" t="str">
        <f>"334.800,00"</f>
        <v>334.800,00</v>
      </c>
      <c r="G1445" s="1" t="str">
        <f>CONCATENATE("07.02.2014.",CHAR(10),"60 dana")</f>
        <v>07.02.2014.
60 dana</v>
      </c>
      <c r="H1445" s="1" t="str">
        <f>CONCATENATE("INFO-KOD D.O.O., ZAGREB")</f>
        <v>INFO-KOD D.O.O., ZAGREB</v>
      </c>
      <c r="I1445" s="1" t="s">
        <v>82</v>
      </c>
      <c r="J1445" s="1" t="str">
        <f>SUBSTITUTE(SUBSTITUTE(SUBSTITUTE("418,500.00",".","-"),",","."),"-",",")</f>
        <v>418.500,00</v>
      </c>
      <c r="K1445" s="2"/>
    </row>
    <row r="1446" spans="1:11" ht="47.25" x14ac:dyDescent="0.25">
      <c r="A1446" s="1" t="str">
        <f>"65/2014"</f>
        <v>65/2014</v>
      </c>
      <c r="B1446" s="1" t="s">
        <v>14</v>
      </c>
      <c r="C1446" s="1" t="s">
        <v>2654</v>
      </c>
      <c r="D1446" s="1" t="str">
        <f>CONCATENATE("1922-2013-EMV",CHAR(10),"2013/S 002-0087949 od 22.10.2013.")</f>
        <v>1922-2013-EMV
2013/S 002-0087949 od 22.10.2013.</v>
      </c>
      <c r="E1446" s="1" t="s">
        <v>15</v>
      </c>
      <c r="F1446" s="1" t="str">
        <f>"56.472,17"</f>
        <v>56.472,17</v>
      </c>
      <c r="G1446" s="1" t="str">
        <f>CONCATENATE("07.02.2014.",CHAR(10),"3 mjeseca od dana uvođenja u posao")</f>
        <v>07.02.2014.
3 mjeseca od dana uvođenja u posao</v>
      </c>
      <c r="H1446" s="1" t="str">
        <f>CONCATENATE("FORSET D.O.O., ZAGREB")</f>
        <v>FORSET D.O.O., ZAGREB</v>
      </c>
      <c r="I1446" s="1" t="s">
        <v>510</v>
      </c>
      <c r="J1446" s="1" t="str">
        <f>SUBSTITUTE(SUBSTITUTE(SUBSTITUTE("70,590.21",".","-"),",","."),"-",",")</f>
        <v>70.590,21</v>
      </c>
      <c r="K1446" s="2"/>
    </row>
    <row r="1447" spans="1:11" ht="47.25" x14ac:dyDescent="0.25">
      <c r="A1447" s="1" t="str">
        <f>"A-11/2014"</f>
        <v>A-11/2014</v>
      </c>
      <c r="B1447" s="1" t="s">
        <v>11</v>
      </c>
      <c r="C1447" s="1" t="s">
        <v>511</v>
      </c>
      <c r="D1447" s="1" t="str">
        <f>"1666-2013-EMV"</f>
        <v>1666-2013-EMV</v>
      </c>
      <c r="E1447" s="2"/>
      <c r="F1447" s="1" t="str">
        <f>"0,00"</f>
        <v>0,00</v>
      </c>
      <c r="G1447" s="1" t="str">
        <f>CONCATENATE("07.02.2014.",CHAR(10),"15. travnja 2014")</f>
        <v>07.02.2014.
15. travnja 2014</v>
      </c>
      <c r="H1447" s="1" t="str">
        <f>CONCATENATE("GEORAD D.O.O., ZAGREB",CHAR(10),"GEOEXPERT-I.G.M. D.O.O., ZAGREB")</f>
        <v>GEORAD D.O.O., ZAGREB
GEOEXPERT-I.G.M. D.O.O., ZAGREB</v>
      </c>
      <c r="I1447" s="2"/>
      <c r="J1447" s="1"/>
      <c r="K1447" s="2"/>
    </row>
    <row r="1448" spans="1:11" ht="47.25" x14ac:dyDescent="0.25">
      <c r="A1448" s="1" t="str">
        <f>"66/2014"</f>
        <v>66/2014</v>
      </c>
      <c r="B1448" s="1" t="s">
        <v>14</v>
      </c>
      <c r="C1448" s="1" t="s">
        <v>2655</v>
      </c>
      <c r="D1448" s="1" t="str">
        <f>CONCATENATE("1235-2013-EMV",CHAR(10),"2013/S 002-0086627 od 17.10.2013.")</f>
        <v>1235-2013-EMV
2013/S 002-0086627 od 17.10.2013.</v>
      </c>
      <c r="E1448" s="1" t="s">
        <v>15</v>
      </c>
      <c r="F1448" s="1" t="str">
        <f>"177.902,00"</f>
        <v>177.902,00</v>
      </c>
      <c r="G1448" s="1" t="str">
        <f>CONCATENATE("07.02.2014.",CHAR(10),"30 dana")</f>
        <v>07.02.2014.
30 dana</v>
      </c>
      <c r="H1448" s="1" t="str">
        <f>CONCATENATE("MONTEL D.O.O., ZAGREB")</f>
        <v>MONTEL D.O.O., ZAGREB</v>
      </c>
      <c r="I1448" s="1" t="s">
        <v>456</v>
      </c>
      <c r="J1448" s="1" t="str">
        <f>SUBSTITUTE(SUBSTITUTE(SUBSTITUTE("221,694.29",".","-"),",","."),"-",",")</f>
        <v>221.694,29</v>
      </c>
      <c r="K1448" s="2"/>
    </row>
    <row r="1449" spans="1:11" ht="78.75" x14ac:dyDescent="0.25">
      <c r="A1449" s="1" t="str">
        <f>"A-12/2014"</f>
        <v>A-12/2014</v>
      </c>
      <c r="B1449" s="1" t="s">
        <v>11</v>
      </c>
      <c r="C1449" s="1" t="s">
        <v>512</v>
      </c>
      <c r="D1449" s="1" t="str">
        <f>"1980-2012-EMV"</f>
        <v>1980-2012-EMV</v>
      </c>
      <c r="E1449" s="2"/>
      <c r="F1449" s="1" t="str">
        <f>"0,00"</f>
        <v>0,00</v>
      </c>
      <c r="G1449" s="1" t="str">
        <f>CONCATENATE("07.02.2014.",CHAR(10),"do 30. 6. 2014.")</f>
        <v>07.02.2014.
do 30. 6. 2014.</v>
      </c>
      <c r="H1449" s="1" t="str">
        <f>CONCATENATE("DALEKOVOD-PROJEKT D.O.O., ZAGREB")</f>
        <v>DALEKOVOD-PROJEKT D.O.O., ZAGREB</v>
      </c>
      <c r="I1449" s="2"/>
      <c r="J1449" s="1"/>
      <c r="K1449" s="2"/>
    </row>
    <row r="1450" spans="1:11" ht="78.75" x14ac:dyDescent="0.25">
      <c r="A1450" s="1" t="str">
        <f>"A-13/2014"</f>
        <v>A-13/2014</v>
      </c>
      <c r="B1450" s="1" t="s">
        <v>11</v>
      </c>
      <c r="C1450" s="1" t="s">
        <v>513</v>
      </c>
      <c r="D1450" s="1" t="str">
        <f>"1843-2012-EMV"</f>
        <v>1843-2012-EMV</v>
      </c>
      <c r="E1450" s="2"/>
      <c r="F1450" s="1" t="str">
        <f>"0,00"</f>
        <v>0,00</v>
      </c>
      <c r="G1450" s="1" t="str">
        <f>CONCATENATE("07.02.2014.",CHAR(10),"30.6.2014.")</f>
        <v>07.02.2014.
30.6.2014.</v>
      </c>
      <c r="H1450" s="1" t="str">
        <f>CONCATENATE("DALEKOVOD-PROJEKT D.O.O., ZAGREB")</f>
        <v>DALEKOVOD-PROJEKT D.O.O., ZAGREB</v>
      </c>
      <c r="I1450" s="2"/>
      <c r="J1450" s="1"/>
      <c r="K1450" s="2"/>
    </row>
    <row r="1451" spans="1:11" ht="63" x14ac:dyDescent="0.25">
      <c r="A1451" s="1" t="str">
        <f>"A-14/2014"</f>
        <v>A-14/2014</v>
      </c>
      <c r="B1451" s="1" t="s">
        <v>11</v>
      </c>
      <c r="C1451" s="1" t="s">
        <v>514</v>
      </c>
      <c r="D1451" s="1" t="str">
        <f>"2287-2013-EMV"</f>
        <v>2287-2013-EMV</v>
      </c>
      <c r="E1451" s="2"/>
      <c r="F1451" s="1" t="str">
        <f>"0,00"</f>
        <v>0,00</v>
      </c>
      <c r="G1451" s="1" t="str">
        <f>CONCATENATE("24.01.2014.",CHAR(10),"kad to dozvole vremenski uvjeti i završiti u roku od 10 radnih dana")</f>
        <v>24.01.2014.
kad to dozvole vremenski uvjeti i završiti u roku od 10 radnih dana</v>
      </c>
      <c r="H1451" s="1" t="str">
        <f>CONCATENATE("RETEL D.O.O., ZAGREB")</f>
        <v>RETEL D.O.O., ZAGREB</v>
      </c>
      <c r="I1451" s="2"/>
      <c r="J1451" s="1"/>
      <c r="K1451" s="2"/>
    </row>
    <row r="1452" spans="1:11" ht="31.5" x14ac:dyDescent="0.25">
      <c r="A1452" s="1" t="str">
        <f>"A-15/2014"</f>
        <v>A-15/2014</v>
      </c>
      <c r="B1452" s="1" t="s">
        <v>11</v>
      </c>
      <c r="C1452" s="1" t="s">
        <v>515</v>
      </c>
      <c r="D1452" s="1" t="str">
        <f>"2289-2013-EVV"</f>
        <v>2289-2013-EVV</v>
      </c>
      <c r="E1452" s="2"/>
      <c r="F1452" s="1" t="str">
        <f>"0,00"</f>
        <v>0,00</v>
      </c>
      <c r="G1452" s="1" t="str">
        <f>CONCATENATE("07.02.2014.",CHAR(10),"10.2.2014.")</f>
        <v>07.02.2014.
10.2.2014.</v>
      </c>
      <c r="H1452" s="1" t="str">
        <f>CONCATENATE("M.T.F. D.O.O., ZAGREB")</f>
        <v>M.T.F. D.O.O., ZAGREB</v>
      </c>
      <c r="I1452" s="2"/>
      <c r="J1452" s="1"/>
      <c r="K1452" s="2"/>
    </row>
    <row r="1453" spans="1:11" ht="47.25" x14ac:dyDescent="0.25">
      <c r="A1453" s="1" t="str">
        <f>"67/2014"</f>
        <v>67/2014</v>
      </c>
      <c r="B1453" s="1" t="s">
        <v>26</v>
      </c>
      <c r="C1453" s="1" t="s">
        <v>2656</v>
      </c>
      <c r="D1453" s="1" t="str">
        <f>"298-2012-EVV"</f>
        <v>298-2012-EVV</v>
      </c>
      <c r="E1453" s="2"/>
      <c r="F1453" s="1" t="str">
        <f>"14.842.868,00"</f>
        <v>14.842.868,00</v>
      </c>
      <c r="G1453" s="1" t="str">
        <f>CONCATENATE("10.02.2014.",CHAR(10),"12 mjeseci")</f>
        <v>10.02.2014.
12 mjeseci</v>
      </c>
      <c r="H1453" s="1" t="str">
        <f>CONCATENATE("1. Zajednica ponuditelja: ",CHAR(10),"    LUKOIL CROATIA D.O.O., ZAGREB",CHAR(10),"    ENERGOSPEKTAR D.O.O., ZAGREB")</f>
        <v>1. Zajednica ponuditelja: 
    LUKOIL CROATIA D.O.O., ZAGREB
    ENERGOSPEKTAR D.O.O., ZAGREB</v>
      </c>
      <c r="I1453" s="2"/>
      <c r="J1453" s="1"/>
      <c r="K1453" s="2"/>
    </row>
    <row r="1454" spans="1:11" ht="47.25" x14ac:dyDescent="0.25">
      <c r="A1454" s="1" t="str">
        <f>"68/2014"</f>
        <v>68/2014</v>
      </c>
      <c r="B1454" s="1" t="s">
        <v>26</v>
      </c>
      <c r="C1454" s="1" t="s">
        <v>2657</v>
      </c>
      <c r="D1454" s="1" t="str">
        <f>"298-2012-EVV"</f>
        <v>298-2012-EVV</v>
      </c>
      <c r="E1454" s="2"/>
      <c r="F1454" s="1" t="str">
        <f>"6.238.336,00"</f>
        <v>6.238.336,00</v>
      </c>
      <c r="G1454" s="1" t="str">
        <f>CONCATENATE("10.02.2014.",CHAR(10),"12 mjeseci")</f>
        <v>10.02.2014.
12 mjeseci</v>
      </c>
      <c r="H1454" s="1" t="str">
        <f>CONCATENATE("1. Zajednica ponuditelja: ",CHAR(10),"    LUKOIL CROATIA D.O.O., ZAGREB",CHAR(10),"    ENERGOSPEKTAR D.O.O., ZAGREB")</f>
        <v>1. Zajednica ponuditelja: 
    LUKOIL CROATIA D.O.O., ZAGREB
    ENERGOSPEKTAR D.O.O., ZAGREB</v>
      </c>
      <c r="I1454" s="2"/>
      <c r="J1454" s="1"/>
      <c r="K1454" s="2"/>
    </row>
    <row r="1455" spans="1:11" ht="47.25" x14ac:dyDescent="0.25">
      <c r="A1455" s="1" t="str">
        <f>"69/2014"</f>
        <v>69/2014</v>
      </c>
      <c r="B1455" s="1" t="s">
        <v>26</v>
      </c>
      <c r="C1455" s="1" t="s">
        <v>2658</v>
      </c>
      <c r="D1455" s="1" t="str">
        <f>"298-2012-EVV"</f>
        <v>298-2012-EVV</v>
      </c>
      <c r="E1455" s="2"/>
      <c r="F1455" s="1" t="str">
        <f>"2.492.934,50"</f>
        <v>2.492.934,50</v>
      </c>
      <c r="G1455" s="1" t="str">
        <f>CONCATENATE("10.02.2014.",CHAR(10),"12 mjeseci")</f>
        <v>10.02.2014.
12 mjeseci</v>
      </c>
      <c r="H1455" s="1" t="str">
        <f>CONCATENATE("1. Zajednica ponuditelja: ",CHAR(10),"    LUKOIL CROATIA D.O.O., ZAGREB",CHAR(10),"    ENERGOSPEKTAR D.O.O., ZAGREB")</f>
        <v>1. Zajednica ponuditelja: 
    LUKOIL CROATIA D.O.O., ZAGREB
    ENERGOSPEKTAR D.O.O., ZAGREB</v>
      </c>
      <c r="I1455" s="2"/>
      <c r="J1455" s="1"/>
      <c r="K1455" s="2"/>
    </row>
    <row r="1456" spans="1:11" ht="47.25" x14ac:dyDescent="0.25">
      <c r="A1456" s="1" t="str">
        <f>"70/2014"</f>
        <v>70/2014</v>
      </c>
      <c r="B1456" s="1" t="s">
        <v>26</v>
      </c>
      <c r="C1456" s="1" t="s">
        <v>2659</v>
      </c>
      <c r="D1456" s="1" t="str">
        <f>"298-2012-EVV"</f>
        <v>298-2012-EVV</v>
      </c>
      <c r="E1456" s="2"/>
      <c r="F1456" s="1" t="str">
        <f>"656.649,50"</f>
        <v>656.649,50</v>
      </c>
      <c r="G1456" s="1" t="str">
        <f>CONCATENATE("10.02.2014.",CHAR(10),"12 mjeseci")</f>
        <v>10.02.2014.
12 mjeseci</v>
      </c>
      <c r="H1456" s="1" t="str">
        <f>CONCATENATE("1. Zajednica ponuditelja: ",CHAR(10),"    LUKOIL CROATIA D.O.O., ZAGREB",CHAR(10),"    ENERGOSPEKTAR D.O.O., ZAGREB")</f>
        <v>1. Zajednica ponuditelja: 
    LUKOIL CROATIA D.O.O., ZAGREB
    ENERGOSPEKTAR D.O.O., ZAGREB</v>
      </c>
      <c r="I1456" s="1" t="s">
        <v>516</v>
      </c>
      <c r="J1456" s="1" t="str">
        <f>SUBSTITUTE(SUBSTITUTE(SUBSTITUTE("601,452.89",".","-"),",","."),"-",",")</f>
        <v>601.452,89</v>
      </c>
      <c r="K1456" s="2"/>
    </row>
    <row r="1457" spans="1:11" ht="31.5" x14ac:dyDescent="0.25">
      <c r="A1457" s="1" t="str">
        <f>"A-16/2014"</f>
        <v>A-16/2014</v>
      </c>
      <c r="B1457" s="1" t="s">
        <v>11</v>
      </c>
      <c r="C1457" s="1" t="s">
        <v>517</v>
      </c>
      <c r="D1457" s="1" t="str">
        <f>"1632-2013-EMV"</f>
        <v>1632-2013-EMV</v>
      </c>
      <c r="E1457" s="2"/>
      <c r="F1457" s="1" t="str">
        <f>"0,00"</f>
        <v>0,00</v>
      </c>
      <c r="G1457" s="1" t="str">
        <f>"11.02.2014."</f>
        <v>11.02.2014.</v>
      </c>
      <c r="H1457" s="1" t="str">
        <f>CONCATENATE("RUDAN D.O.O., ŽMINJ")</f>
        <v>RUDAN D.O.O., ŽMINJ</v>
      </c>
      <c r="I1457" s="2"/>
      <c r="J1457" s="1"/>
      <c r="K1457" s="2"/>
    </row>
    <row r="1458" spans="1:11" ht="47.25" x14ac:dyDescent="0.25">
      <c r="A1458" s="1" t="str">
        <f>"71/2014"</f>
        <v>71/2014</v>
      </c>
      <c r="B1458" s="1" t="s">
        <v>14</v>
      </c>
      <c r="C1458" s="1" t="s">
        <v>2660</v>
      </c>
      <c r="D1458" s="1" t="str">
        <f>CONCATENATE("2396-2013-EMV",CHAR(10),"2013/S 002-0090402 od 31.10.2013.")</f>
        <v>2396-2013-EMV
2013/S 002-0090402 od 31.10.2013.</v>
      </c>
      <c r="E1458" s="1" t="s">
        <v>15</v>
      </c>
      <c r="F1458" s="1" t="str">
        <f>"16.000,00"</f>
        <v>16.000,00</v>
      </c>
      <c r="G1458" s="1" t="str">
        <f>CONCATENATE("11.02.2014.",CHAR(10),"12 mjeseci")</f>
        <v>11.02.2014.
12 mjeseci</v>
      </c>
      <c r="H1458" s="1" t="str">
        <f>CONCATENATE("LIPA L.P. D.O.O., ZAGREB")</f>
        <v>LIPA L.P. D.O.O., ZAGREB</v>
      </c>
      <c r="I1458" s="2"/>
      <c r="J1458" s="1"/>
      <c r="K1458" s="2"/>
    </row>
    <row r="1459" spans="1:11" ht="47.25" x14ac:dyDescent="0.25">
      <c r="A1459" s="1" t="str">
        <f>"72/2014"</f>
        <v>72/2014</v>
      </c>
      <c r="B1459" s="1" t="s">
        <v>14</v>
      </c>
      <c r="C1459" s="1" t="s">
        <v>2661</v>
      </c>
      <c r="D1459" s="1" t="str">
        <f>CONCATENATE("2863-2013-EMV",CHAR(10),"2014/S 015-0004547 od 31.01.2014.")</f>
        <v>2863-2013-EMV
2014/S 015-0004547 od 31.01.2014.</v>
      </c>
      <c r="E1459" s="1" t="s">
        <v>12</v>
      </c>
      <c r="F1459" s="1" t="str">
        <f>"3.288.709,00"</f>
        <v>3.288.709,00</v>
      </c>
      <c r="G1459" s="1" t="str">
        <f>CONCATENATE("12.02.2014.",CHAR(10),"90 dana")</f>
        <v>12.02.2014.
90 dana</v>
      </c>
      <c r="H1459" s="1" t="str">
        <f>CONCATENATE("VODOPRIVREDA ZAGREB D.D., ZAGREB")</f>
        <v>VODOPRIVREDA ZAGREB D.D., ZAGREB</v>
      </c>
      <c r="I1459" s="2"/>
      <c r="J1459" s="1"/>
      <c r="K1459" s="2"/>
    </row>
    <row r="1460" spans="1:11" ht="47.25" x14ac:dyDescent="0.25">
      <c r="A1460" s="1" t="str">
        <f>"73/2014"</f>
        <v>73/2014</v>
      </c>
      <c r="B1460" s="1" t="s">
        <v>14</v>
      </c>
      <c r="C1460" s="1" t="s">
        <v>2662</v>
      </c>
      <c r="D1460" s="1" t="str">
        <f>CONCATENATE("1150-2013-EMV",CHAR(10),"2013/S 002-0031611 od 05.04.2013.")</f>
        <v>1150-2013-EMV
2013/S 002-0031611 od 05.04.2013.</v>
      </c>
      <c r="E1460" s="1" t="s">
        <v>15</v>
      </c>
      <c r="F1460" s="1" t="str">
        <f>"762.072,39"</f>
        <v>762.072,39</v>
      </c>
      <c r="G1460" s="1" t="str">
        <f>CONCATENATE("12.02.2014.",CHAR(10),"12 mjeseci")</f>
        <v>12.02.2014.
12 mjeseci</v>
      </c>
      <c r="H1460" s="1" t="str">
        <f>CONCATENATE("1. Zajednica ponuditelja: ",CHAR(10),"    TA-GRAD D.O.O., ZAGREB",CHAR(10),"    TERRACOTTA D.O.O., ZAGREB")</f>
        <v>1. Zajednica ponuditelja: 
    TA-GRAD D.O.O., ZAGREB
    TERRACOTTA D.O.O., ZAGREB</v>
      </c>
      <c r="I1460" s="2"/>
      <c r="J1460" s="1"/>
      <c r="K1460" s="2"/>
    </row>
    <row r="1461" spans="1:11" ht="94.5" x14ac:dyDescent="0.25">
      <c r="A1461" s="1" t="str">
        <f>"74/2014"</f>
        <v>74/2014</v>
      </c>
      <c r="B1461" s="1" t="s">
        <v>14</v>
      </c>
      <c r="C1461" s="1" t="s">
        <v>2663</v>
      </c>
      <c r="D1461" s="1" t="str">
        <f>CONCATENATE("2746-2013-EMV",CHAR(10),"2013/S 002-0073339 od 29.08.2013.")</f>
        <v>2746-2013-EMV
2013/S 002-0073339 od 29.08.2013.</v>
      </c>
      <c r="E1461" s="1" t="s">
        <v>15</v>
      </c>
      <c r="F1461" s="1" t="str">
        <f>"1.422.664,55"</f>
        <v>1.422.664,55</v>
      </c>
      <c r="G1461" s="1" t="str">
        <f>CONCATENATE("12.02.2014.",CHAR(10),"3 mjeseca")</f>
        <v>12.02.2014.
3 mjeseca</v>
      </c>
      <c r="H1461" s="1" t="str">
        <f>CONCATENATE("1. Zajednica ponuditelja: ",CHAR(10),"    M. SOLDO D.O.O., ZAGREB",CHAR(10),"    GEOGIS D.O.O., ZAGREB",CHAR(10),"    AQUATEHNIKA D.O.O., VARAŽDIN",CHAR(10),"    PRODUKT BASTAL D.O.O., VELIKA GORICA")</f>
        <v>1. Zajednica ponuditelja: 
    M. SOLDO D.O.O., ZAGREB
    GEOGIS D.O.O., ZAGREB
    AQUATEHNIKA D.O.O., VARAŽDIN
    PRODUKT BASTAL D.O.O., VELIKA GORICA</v>
      </c>
      <c r="I1461" s="2"/>
      <c r="J1461" s="1"/>
      <c r="K1461" s="2"/>
    </row>
    <row r="1462" spans="1:11" ht="47.25" x14ac:dyDescent="0.25">
      <c r="A1462" s="1" t="str">
        <f>"75/2014"</f>
        <v>75/2014</v>
      </c>
      <c r="B1462" s="1" t="s">
        <v>26</v>
      </c>
      <c r="C1462" s="1" t="s">
        <v>2664</v>
      </c>
      <c r="D1462" s="2"/>
      <c r="E1462" s="2"/>
      <c r="F1462" s="1" t="str">
        <f>"684.019,00"</f>
        <v>684.019,00</v>
      </c>
      <c r="G1462" s="1" t="str">
        <f>CONCATENATE("12.02.2014.",CHAR(10),"tijekom 2014")</f>
        <v>12.02.2014.
tijekom 2014</v>
      </c>
      <c r="H1462" s="1" t="str">
        <f>CONCATENATE("URAR LEBAROVIĆ OBRT ZA PROIZVODNJU I POPRAVAK SATOVA VL. DALIBOR LEBAROVIĆ, ZAGREB")</f>
        <v>URAR LEBAROVIĆ OBRT ZA PROIZVODNJU I POPRAVAK SATOVA VL. DALIBOR LEBAROVIĆ, ZAGREB</v>
      </c>
      <c r="I1462" s="1" t="s">
        <v>518</v>
      </c>
      <c r="J1462" s="1" t="str">
        <f>SUBSTITUTE(SUBSTITUTE(SUBSTITUTE("853,353.75",".","-"),",","."),"-",",")</f>
        <v>853.353,75</v>
      </c>
      <c r="K1462" s="2"/>
    </row>
    <row r="1463" spans="1:11" ht="47.25" x14ac:dyDescent="0.25">
      <c r="A1463" s="1" t="str">
        <f>"76/2014"</f>
        <v>76/2014</v>
      </c>
      <c r="B1463" s="1" t="s">
        <v>14</v>
      </c>
      <c r="C1463" s="1" t="s">
        <v>2665</v>
      </c>
      <c r="D1463" s="1" t="str">
        <f>CONCATENATE("2237-2013-EMV",CHAR(10),"2014/S 015-0002248 od 20.01.2014.")</f>
        <v>2237-2013-EMV
2014/S 015-0002248 od 20.01.2014.</v>
      </c>
      <c r="E1463" s="1" t="s">
        <v>12</v>
      </c>
      <c r="F1463" s="1" t="str">
        <f>"89.600,00"</f>
        <v>89.600,00</v>
      </c>
      <c r="G1463" s="1" t="str">
        <f>CONCATENATE("13.02.2014.",CHAR(10),"12 mjeseci")</f>
        <v>13.02.2014.
12 mjeseci</v>
      </c>
      <c r="H1463" s="1" t="str">
        <f>CONCATENATE("GRADITELJ SVRATIŠTA D.O.O., ZAGREB")</f>
        <v>GRADITELJ SVRATIŠTA D.O.O., ZAGREB</v>
      </c>
      <c r="I1463" s="1" t="s">
        <v>489</v>
      </c>
      <c r="J1463" s="1" t="str">
        <f>SUBSTITUTE(SUBSTITUTE(SUBSTITUTE("111,887.50",".","-"),",","."),"-",",")</f>
        <v>111.887,50</v>
      </c>
      <c r="K1463" s="2"/>
    </row>
    <row r="1464" spans="1:11" ht="63" x14ac:dyDescent="0.25">
      <c r="A1464" s="1" t="str">
        <f>"A-17/2014"</f>
        <v>A-17/2014</v>
      </c>
      <c r="B1464" s="1" t="s">
        <v>11</v>
      </c>
      <c r="C1464" s="1" t="s">
        <v>519</v>
      </c>
      <c r="D1464" s="1" t="str">
        <f>"2758-2012-EMV"</f>
        <v>2758-2012-EMV</v>
      </c>
      <c r="E1464" s="2"/>
      <c r="F1464" s="1" t="str">
        <f>"0,00"</f>
        <v>0,00</v>
      </c>
      <c r="G1464" s="1" t="str">
        <f>CONCATENATE("13.02.2014.",CHAR(10),"od konačne realizacije ugovora, odnosno do sklapanja novog ugovora")</f>
        <v>13.02.2014.
od konačne realizacije ugovora, odnosno do sklapanja novog ugovora</v>
      </c>
      <c r="H1464" s="1" t="str">
        <f>CONCATENATE("PRIMAT -  RD D.O.O., HRVATSKI LESKOVAC")</f>
        <v>PRIMAT -  RD D.O.O., HRVATSKI LESKOVAC</v>
      </c>
      <c r="I1464" s="2"/>
      <c r="J1464" s="1"/>
      <c r="K1464" s="2"/>
    </row>
    <row r="1465" spans="1:11" ht="47.25" x14ac:dyDescent="0.25">
      <c r="A1465" s="1" t="str">
        <f>"77/2014"</f>
        <v>77/2014</v>
      </c>
      <c r="B1465" s="1" t="s">
        <v>14</v>
      </c>
      <c r="C1465" s="1" t="s">
        <v>2666</v>
      </c>
      <c r="D1465" s="1" t="str">
        <f>CONCATENATE("1210-2013-EMV",CHAR(10),"2013/S 002-0074646 od 03.09.2013.")</f>
        <v>1210-2013-EMV
2013/S 002-0074646 od 03.09.2013.</v>
      </c>
      <c r="E1465" s="1" t="s">
        <v>15</v>
      </c>
      <c r="F1465" s="1" t="str">
        <f>"48.000,00"</f>
        <v>48.000,00</v>
      </c>
      <c r="G1465" s="1" t="str">
        <f>CONCATENATE("13.02.2014.",CHAR(10),"60 dana")</f>
        <v>13.02.2014.
60 dana</v>
      </c>
      <c r="H1465" s="1" t="str">
        <f>CONCATENATE("1. Zajednica ponuditelja: ",CHAR(10),"    ARHINGTRADE D.O.O., ZAGREB",CHAR(10),"    HVAT D.O.O., SAMOBOR")</f>
        <v>1. Zajednica ponuditelja: 
    ARHINGTRADE D.O.O., ZAGREB
    HVAT D.O.O., SAMOBOR</v>
      </c>
      <c r="I1465" s="2"/>
      <c r="J1465" s="1"/>
      <c r="K1465" s="2"/>
    </row>
    <row r="1466" spans="1:11" ht="63" x14ac:dyDescent="0.25">
      <c r="A1466" s="1" t="str">
        <f>"78/2014"</f>
        <v>78/2014</v>
      </c>
      <c r="B1466" s="1" t="s">
        <v>14</v>
      </c>
      <c r="C1466" s="1" t="s">
        <v>2667</v>
      </c>
      <c r="D1466" s="1" t="str">
        <f>CONCATENATE("1919-2013-EMV",CHAR(10),"2013/S 002-0089410 od 28.10.2013.")</f>
        <v>1919-2013-EMV
2013/S 002-0089410 od 28.10.2013.</v>
      </c>
      <c r="E1466" s="1" t="s">
        <v>15</v>
      </c>
      <c r="F1466" s="1" t="str">
        <f>"53.800,00"</f>
        <v>53.800,00</v>
      </c>
      <c r="G1466" s="1" t="str">
        <f>CONCATENATE("14.02.2014.",CHAR(10),"12 mjeseci")</f>
        <v>14.02.2014.
12 mjeseci</v>
      </c>
      <c r="H1466" s="1" t="str">
        <f>CONCATENATE("1. Zajednica ponuditelja: ",CHAR(10),"    KOPIMA D.O.O, ZAGREB",CHAR(10),"    AG PLANUM D.O.O., ZAGREB")</f>
        <v>1. Zajednica ponuditelja: 
    KOPIMA D.O.O, ZAGREB
    AG PLANUM D.O.O., ZAGREB</v>
      </c>
      <c r="I1466" s="2"/>
      <c r="J1466" s="1"/>
      <c r="K1466" s="2"/>
    </row>
    <row r="1467" spans="1:11" ht="173.25" x14ac:dyDescent="0.25">
      <c r="A1467" s="1" t="str">
        <f>"79/2014"</f>
        <v>79/2014</v>
      </c>
      <c r="B1467" s="1" t="s">
        <v>14</v>
      </c>
      <c r="C1467" s="1" t="s">
        <v>2668</v>
      </c>
      <c r="D1467" s="1" t="str">
        <f>CONCATENATE("1362-2013-EMV",CHAR(10),"2013/S 002-0085644 od 15.10.2013.")</f>
        <v>1362-2013-EMV
2013/S 002-0085644 od 15.10.2013.</v>
      </c>
      <c r="E1467" s="1" t="s">
        <v>15</v>
      </c>
      <c r="F1467" s="1" t="str">
        <f>"118.000,00"</f>
        <v>118.000,00</v>
      </c>
      <c r="G1467" s="1" t="str">
        <f>CONCATENATE("14.02.2014.",CHAR(10),"1 mjesec")</f>
        <v>14.02.2014.
1 mjesec</v>
      </c>
      <c r="H1467" s="1" t="str">
        <f>CONCATENATE("1. Zajednica ponuditelja: ",CHAR(10),"    PGT ŠKUNCA D.O.O., ZAGREB-SUSEDGRAD",CHAR(10),"    GEODATA PROJEKT D.O.O., ZAGREB",CHAR(10),"    BAU-PROJEKT D.O.O., JASTREBARSKO",CHAR(10),"    SOŽA D.O.O., ZAGREB",CHAR(10),"    PROMEL PROJEKT D.O.O., ZAGREB",CHAR(10),"    URED OVLAŠTENOG KRAJOBRAZNOG ARHITEKTA -ROBERT DUIĆ, ZAGREB")</f>
        <v>1. Zajednica ponuditelja: 
    PGT ŠKUNCA D.O.O., ZAGREB-SUSEDGRAD
    GEODATA PROJEKT D.O.O., ZAGREB
    BAU-PROJEKT D.O.O., JASTREBARSKO
    SOŽA D.O.O., ZAGREB
    PROMEL PROJEKT D.O.O., ZAGREB
    URED OVLAŠTENOG KRAJOBRAZNOG ARHITEKTA -ROBERT DUIĆ, ZAGREB</v>
      </c>
      <c r="I1467" s="2"/>
      <c r="J1467" s="1"/>
      <c r="K1467" s="2"/>
    </row>
    <row r="1468" spans="1:11" ht="31.5" x14ac:dyDescent="0.25">
      <c r="A1468" s="1" t="str">
        <f>"80/2014"</f>
        <v>80/2014</v>
      </c>
      <c r="B1468" s="1" t="s">
        <v>26</v>
      </c>
      <c r="C1468" s="1" t="s">
        <v>2669</v>
      </c>
      <c r="D1468" s="1" t="str">
        <f>"EV-448-019/2011"</f>
        <v>EV-448-019/2011</v>
      </c>
      <c r="E1468" s="2"/>
      <c r="F1468" s="1" t="str">
        <f>"399.135,00"</f>
        <v>399.135,00</v>
      </c>
      <c r="G1468" s="1" t="str">
        <f>CONCATENATE("14.02.2014.",CHAR(10),"12 mjeseci")</f>
        <v>14.02.2014.
12 mjeseci</v>
      </c>
      <c r="H1468" s="1" t="str">
        <f>CONCATENATE("LUKOIL CROATIA D.O.O., ZAGREB")</f>
        <v>LUKOIL CROATIA D.O.O., ZAGREB</v>
      </c>
      <c r="I1468" s="1" t="s">
        <v>520</v>
      </c>
      <c r="J1468" s="1" t="str">
        <f>SUBSTITUTE(SUBSTITUTE(SUBSTITUTE("484,228.92",".","-"),",","."),"-",",")</f>
        <v>484.228,92</v>
      </c>
      <c r="K1468" s="2"/>
    </row>
    <row r="1469" spans="1:11" ht="63" x14ac:dyDescent="0.25">
      <c r="A1469" s="1" t="str">
        <f>"A-18/2014"</f>
        <v>A-18/2014</v>
      </c>
      <c r="B1469" s="1" t="s">
        <v>11</v>
      </c>
      <c r="C1469" s="1" t="s">
        <v>521</v>
      </c>
      <c r="D1469" s="1" t="str">
        <f>"1671-2013-EMV"</f>
        <v>1671-2013-EMV</v>
      </c>
      <c r="E1469" s="2"/>
      <c r="F1469" s="1" t="str">
        <f t="shared" ref="F1469:F1478" si="9">"0,00"</f>
        <v>0,00</v>
      </c>
      <c r="G1469" s="1" t="str">
        <f>CONCATENATE("14.02.2014.",CHAR(10),"15.04.2014.")</f>
        <v>14.02.2014.
15.04.2014.</v>
      </c>
      <c r="H1469" s="1" t="str">
        <f>CONCATENATE("1. Zajednica ponuditelja: ",CHAR(10),"    GRADITELJ SVRATIŠTA D.O.O., ZAGREB",CHAR(10),"    M-M ELEKTRO D.O.O., LUČKO")</f>
        <v>1. Zajednica ponuditelja: 
    GRADITELJ SVRATIŠTA D.O.O., ZAGREB
    M-M ELEKTRO D.O.O., LUČKO</v>
      </c>
      <c r="I1469" s="2"/>
      <c r="J1469" s="1"/>
      <c r="K1469" s="2"/>
    </row>
    <row r="1470" spans="1:11" ht="78.75" x14ac:dyDescent="0.25">
      <c r="A1470" s="1" t="str">
        <f>"A-19/2014"</f>
        <v>A-19/2014</v>
      </c>
      <c r="B1470" s="1" t="s">
        <v>11</v>
      </c>
      <c r="C1470" s="1" t="s">
        <v>522</v>
      </c>
      <c r="D1470" s="1" t="str">
        <f>"2760-2012-EMV"</f>
        <v>2760-2012-EMV</v>
      </c>
      <c r="E1470" s="2"/>
      <c r="F1470" s="1" t="str">
        <f t="shared" si="9"/>
        <v>0,00</v>
      </c>
      <c r="G1470" s="1" t="str">
        <f>CONCATENATE("14.02.2014.",CHAR(10),"do konačne realizacije ugovora, odnosno do sklapanja novog ugovora")</f>
        <v>14.02.2014.
do konačne realizacije ugovora, odnosno do sklapanja novog ugovora</v>
      </c>
      <c r="H1470" s="1" t="str">
        <f>CONCATENATE("1. Zajednica ponuditelja: ",CHAR(10),"    GRADITELJ SVRATIŠTA D.O.O., ZAGREB",CHAR(10),"    KEMIS-TERMOCLEAN D.O.O., ZAGREB")</f>
        <v>1. Zajednica ponuditelja: 
    GRADITELJ SVRATIŠTA D.O.O., ZAGREB
    KEMIS-TERMOCLEAN D.O.O., ZAGREB</v>
      </c>
      <c r="I1470" s="2"/>
      <c r="J1470" s="1"/>
      <c r="K1470" s="2"/>
    </row>
    <row r="1471" spans="1:11" ht="63" x14ac:dyDescent="0.25">
      <c r="A1471" s="1" t="str">
        <f>"A-20/2014"</f>
        <v>A-20/2014</v>
      </c>
      <c r="B1471" s="1" t="s">
        <v>11</v>
      </c>
      <c r="C1471" s="1" t="s">
        <v>523</v>
      </c>
      <c r="D1471" s="1" t="str">
        <f>"2764-2012-EMV"</f>
        <v>2764-2012-EMV</v>
      </c>
      <c r="E1471" s="2"/>
      <c r="F1471" s="1" t="str">
        <f t="shared" si="9"/>
        <v>0,00</v>
      </c>
      <c r="G1471" s="1" t="str">
        <f>CONCATENATE("17.02.2014.",CHAR(10),"do konačne realizacije ugovora, odnosno do sklapanja novog ugovora")</f>
        <v>17.02.2014.
do konačne realizacije ugovora, odnosno do sklapanja novog ugovora</v>
      </c>
      <c r="H1471" s="1" t="str">
        <f>CONCATENATE("GRADITELJ SVRATIŠTA D.O.O., ZAGREB")</f>
        <v>GRADITELJ SVRATIŠTA D.O.O., ZAGREB</v>
      </c>
      <c r="I1471" s="2"/>
      <c r="J1471" s="1"/>
      <c r="K1471" s="2"/>
    </row>
    <row r="1472" spans="1:11" ht="47.25" x14ac:dyDescent="0.25">
      <c r="A1472" s="1" t="str">
        <f>"A-21/2014"</f>
        <v>A-21/2014</v>
      </c>
      <c r="B1472" s="1" t="s">
        <v>11</v>
      </c>
      <c r="C1472" s="1" t="s">
        <v>524</v>
      </c>
      <c r="D1472" s="1" t="str">
        <f>"1681-2013-EMV"</f>
        <v>1681-2013-EMV</v>
      </c>
      <c r="E1472" s="2"/>
      <c r="F1472" s="1" t="str">
        <f t="shared" si="9"/>
        <v>0,00</v>
      </c>
      <c r="G1472" s="1" t="str">
        <f>CONCATENATE("17.02.2014.",CHAR(10),"15.04.2014.")</f>
        <v>17.02.2014.
15.04.2014.</v>
      </c>
      <c r="H1472" s="1" t="str">
        <f>CONCATENATE("1. Zajednica ponuditelja: ",CHAR(10),"    GIP PIONIR D.O.O., ZAGREB",CHAR(10),"    CSS D.O.O., ZAGREB")</f>
        <v>1. Zajednica ponuditelja: 
    GIP PIONIR D.O.O., ZAGREB
    CSS D.O.O., ZAGREB</v>
      </c>
      <c r="I1472" s="2"/>
      <c r="J1472" s="1"/>
      <c r="K1472" s="2"/>
    </row>
    <row r="1473" spans="1:11" ht="63" x14ac:dyDescent="0.25">
      <c r="A1473" s="1" t="str">
        <f>"A-22/2014"</f>
        <v>A-22/2014</v>
      </c>
      <c r="B1473" s="1" t="s">
        <v>11</v>
      </c>
      <c r="C1473" s="1" t="s">
        <v>525</v>
      </c>
      <c r="D1473" s="1" t="str">
        <f>"27-2012-EMV"</f>
        <v>27-2012-EMV</v>
      </c>
      <c r="E1473" s="2"/>
      <c r="F1473" s="1" t="str">
        <f t="shared" si="9"/>
        <v>0,00</v>
      </c>
      <c r="G1473" s="1" t="str">
        <f>CONCATENATE("15.01.2014.",CHAR(10),"do konačne financijske realizacije, odnosno do sklapanja novog ugovora")</f>
        <v>15.01.2014.
do konačne financijske realizacije, odnosno do sklapanja novog ugovora</v>
      </c>
      <c r="H1473" s="1" t="str">
        <f>CONCATENATE("HP-HRVATSKA POŠTA, ZAGREB")</f>
        <v>HP-HRVATSKA POŠTA, ZAGREB</v>
      </c>
      <c r="I1473" s="2"/>
      <c r="J1473" s="1"/>
      <c r="K1473" s="2"/>
    </row>
    <row r="1474" spans="1:11" ht="63" x14ac:dyDescent="0.25">
      <c r="A1474" s="1" t="str">
        <f>"R-2/2014"</f>
        <v>R-2/2014</v>
      </c>
      <c r="B1474" s="1" t="s">
        <v>56</v>
      </c>
      <c r="C1474" s="1" t="s">
        <v>2670</v>
      </c>
      <c r="D1474" s="1" t="str">
        <f>"EM-369-012/2011"</f>
        <v>EM-369-012/2011</v>
      </c>
      <c r="E1474" s="2"/>
      <c r="F1474" s="1" t="str">
        <f t="shared" si="9"/>
        <v>0,00</v>
      </c>
      <c r="G1474" s="1" t="str">
        <f>CONCATENATE("18.02.2014.",CHAR(10),"Sporazum stupa na snagu danom potpisa sporazumnih strana")</f>
        <v>18.02.2014.
Sporazum stupa na snagu danom potpisa sporazumnih strana</v>
      </c>
      <c r="H1474" s="1" t="str">
        <f>CONCATENATE("INSTAL-PROM D.O.O., ZAGREB")</f>
        <v>INSTAL-PROM D.O.O., ZAGREB</v>
      </c>
      <c r="I1474" s="2"/>
      <c r="J1474" s="1"/>
      <c r="K1474" s="2"/>
    </row>
    <row r="1475" spans="1:11" ht="47.25" x14ac:dyDescent="0.25">
      <c r="A1475" s="1" t="str">
        <f>"A-23/2014"</f>
        <v>A-23/2014</v>
      </c>
      <c r="B1475" s="1" t="s">
        <v>11</v>
      </c>
      <c r="C1475" s="1" t="s">
        <v>526</v>
      </c>
      <c r="D1475" s="1" t="str">
        <f>"EV-146-012/2011"</f>
        <v>EV-146-012/2011</v>
      </c>
      <c r="E1475" s="2"/>
      <c r="F1475" s="1" t="str">
        <f t="shared" si="9"/>
        <v>0,00</v>
      </c>
      <c r="G1475" s="1" t="str">
        <f>CONCATENATE("18.02.2014.",CHAR(10),"31.05.2014")</f>
        <v>18.02.2014.
31.05.2014</v>
      </c>
      <c r="H1475" s="1" t="str">
        <f>CONCATENATE("GEORAD D.O.O., ZAGREB")</f>
        <v>GEORAD D.O.O., ZAGREB</v>
      </c>
      <c r="I1475" s="2"/>
      <c r="J1475" s="1"/>
      <c r="K1475" s="2"/>
    </row>
    <row r="1476" spans="1:11" ht="78.75" x14ac:dyDescent="0.25">
      <c r="A1476" s="1" t="str">
        <f>"A-24/2014"</f>
        <v>A-24/2014</v>
      </c>
      <c r="B1476" s="1" t="s">
        <v>11</v>
      </c>
      <c r="C1476" s="1" t="s">
        <v>527</v>
      </c>
      <c r="D1476" s="1" t="str">
        <f>"1692-2013-EMV"</f>
        <v>1692-2013-EMV</v>
      </c>
      <c r="E1476" s="2"/>
      <c r="F1476" s="1" t="str">
        <f t="shared" si="9"/>
        <v>0,00</v>
      </c>
      <c r="G1476" s="1" t="str">
        <f>CONCATENATE("18.02.2014.",CHAR(10),"15.04.2014")</f>
        <v>18.02.2014.
15.04.2014</v>
      </c>
      <c r="H1476" s="1" t="str">
        <f>CONCATENATE("HEP-OPERATOR DISTRIBUCIJSKOG SUSTAVA D.O.O., ZAGREB")</f>
        <v>HEP-OPERATOR DISTRIBUCIJSKOG SUSTAVA D.O.O., ZAGREB</v>
      </c>
      <c r="I1476" s="2"/>
      <c r="J1476" s="1"/>
      <c r="K1476" s="2"/>
    </row>
    <row r="1477" spans="1:11" ht="47.25" x14ac:dyDescent="0.25">
      <c r="A1477" s="1" t="str">
        <f>"A-25/2014"</f>
        <v>A-25/2014</v>
      </c>
      <c r="B1477" s="1" t="s">
        <v>11</v>
      </c>
      <c r="C1477" s="1" t="s">
        <v>528</v>
      </c>
      <c r="D1477" s="1" t="str">
        <f>"EM-430-012/2011"</f>
        <v>EM-430-012/2011</v>
      </c>
      <c r="E1477" s="2"/>
      <c r="F1477" s="1" t="str">
        <f t="shared" si="9"/>
        <v>0,00</v>
      </c>
      <c r="G1477" s="1" t="str">
        <f>CONCATENATE("18.02.2014.",CHAR(10),"31.05.2014")</f>
        <v>18.02.2014.
31.05.2014</v>
      </c>
      <c r="H1477" s="1" t="str">
        <f>CONCATENATE("NERING PROJEKT D.O.O., ZAGREB")</f>
        <v>NERING PROJEKT D.O.O., ZAGREB</v>
      </c>
      <c r="I1477" s="2"/>
      <c r="J1477" s="1"/>
      <c r="K1477" s="2"/>
    </row>
    <row r="1478" spans="1:11" ht="47.25" x14ac:dyDescent="0.25">
      <c r="A1478" s="1" t="str">
        <f>"A-26/2014"</f>
        <v>A-26/2014</v>
      </c>
      <c r="B1478" s="1" t="s">
        <v>11</v>
      </c>
      <c r="C1478" s="1" t="s">
        <v>529</v>
      </c>
      <c r="D1478" s="1" t="str">
        <f>"1670-2013-EMV"</f>
        <v>1670-2013-EMV</v>
      </c>
      <c r="E1478" s="2"/>
      <c r="F1478" s="1" t="str">
        <f t="shared" si="9"/>
        <v>0,00</v>
      </c>
      <c r="G1478" s="1" t="str">
        <f>CONCATENATE("19.02.2014.",CHAR(10),"do 15.04.2014.")</f>
        <v>19.02.2014.
do 15.04.2014.</v>
      </c>
      <c r="H1478" s="1" t="str">
        <f>CONCATENATE("MONTEL D.O.O., ZAGREB")</f>
        <v>MONTEL D.O.O., ZAGREB</v>
      </c>
      <c r="I1478" s="2"/>
      <c r="J1478" s="1"/>
      <c r="K1478" s="2"/>
    </row>
    <row r="1479" spans="1:11" ht="78.75" x14ac:dyDescent="0.25">
      <c r="A1479" s="1" t="str">
        <f>"84/2014"</f>
        <v>84/2014</v>
      </c>
      <c r="B1479" s="1" t="s">
        <v>14</v>
      </c>
      <c r="C1479" s="1" t="s">
        <v>2671</v>
      </c>
      <c r="D1479" s="1" t="str">
        <f>CONCATENATE("2209-2013-EMV",CHAR(10),"2013/S 002-0089349 od 28.10.2013.")</f>
        <v>2209-2013-EMV
2013/S 002-0089349 od 28.10.2013.</v>
      </c>
      <c r="E1479" s="1" t="s">
        <v>15</v>
      </c>
      <c r="F1479" s="1" t="str">
        <f>"95.000,00"</f>
        <v>95.000,00</v>
      </c>
      <c r="G1479" s="1" t="str">
        <f>CONCATENATE("19.02.2014.",CHAR(10),"5 mjeseci")</f>
        <v>19.02.2014.
5 mjeseci</v>
      </c>
      <c r="H1479" s="1" t="str">
        <f>CONCATENATE("1. Zajednica ponuditelja: ",CHAR(10),"    GEOKON - ZAGREB D.D., ZAGREB",CHAR(10),"    REPER PLUS D.O.O., ZAGREB",CHAR(10),"    PROJEKTNI BIRO NAGLIĆ D.O.O., ZAGREB")</f>
        <v>1. Zajednica ponuditelja: 
    GEOKON - ZAGREB D.D., ZAGREB
    REPER PLUS D.O.O., ZAGREB
    PROJEKTNI BIRO NAGLIĆ D.O.O., ZAGREB</v>
      </c>
      <c r="I1479" s="2"/>
      <c r="J1479" s="1"/>
      <c r="K1479" s="2"/>
    </row>
    <row r="1480" spans="1:11" ht="47.25" x14ac:dyDescent="0.25">
      <c r="A1480" s="1" t="str">
        <f>"85/2014"</f>
        <v>85/2014</v>
      </c>
      <c r="B1480" s="1" t="s">
        <v>14</v>
      </c>
      <c r="C1480" s="1" t="s">
        <v>2672</v>
      </c>
      <c r="D1480" s="1" t="str">
        <f>CONCATENATE("1231-2013-EMV",CHAR(10),"2013/S 002-0083749 od 07.10.2013.")</f>
        <v>1231-2013-EMV
2013/S 002-0083749 od 07.10.2013.</v>
      </c>
      <c r="E1480" s="1" t="s">
        <v>15</v>
      </c>
      <c r="F1480" s="1" t="str">
        <f>"28.000,00"</f>
        <v>28.000,00</v>
      </c>
      <c r="G1480" s="1" t="str">
        <f>CONCATENATE("19.02.2014.",CHAR(10),"150 dana")</f>
        <v>19.02.2014.
150 dana</v>
      </c>
      <c r="H1480" s="1" t="str">
        <f>CONCATENATE("IPT-INŽENJERING D.O.O., ZAGREB")</f>
        <v>IPT-INŽENJERING D.O.O., ZAGREB</v>
      </c>
      <c r="I1480" s="2"/>
      <c r="J1480" s="1"/>
      <c r="K1480" s="2"/>
    </row>
    <row r="1481" spans="1:11" ht="47.25" x14ac:dyDescent="0.25">
      <c r="A1481" s="1" t="str">
        <f>"86/2014"</f>
        <v>86/2014</v>
      </c>
      <c r="B1481" s="1" t="s">
        <v>14</v>
      </c>
      <c r="C1481" s="1" t="s">
        <v>2673</v>
      </c>
      <c r="D1481" s="1" t="str">
        <f>CONCATENATE("1152-2013-EMV",CHAR(10),"2013/S 002-0085221 od 14.10.2013.")</f>
        <v>1152-2013-EMV
2013/S 002-0085221 od 14.10.2013.</v>
      </c>
      <c r="E1481" s="1" t="s">
        <v>15</v>
      </c>
      <c r="F1481" s="1" t="str">
        <f>"308.140,94"</f>
        <v>308.140,94</v>
      </c>
      <c r="G1481" s="1" t="str">
        <f>CONCATENATE("19.02.2014.",CHAR(10),"12 mjeseci")</f>
        <v>19.02.2014.
12 mjeseci</v>
      </c>
      <c r="H1481" s="1" t="str">
        <f>CONCATENATE("HEDOM D.O.O., ZAGREB")</f>
        <v>HEDOM D.O.O., ZAGREB</v>
      </c>
      <c r="I1481" s="2"/>
      <c r="J1481" s="1"/>
      <c r="K1481" s="2"/>
    </row>
    <row r="1482" spans="1:11" ht="47.25" x14ac:dyDescent="0.25">
      <c r="A1482" s="1" t="str">
        <f>"A-27/2014"</f>
        <v>A-27/2014</v>
      </c>
      <c r="B1482" s="1" t="s">
        <v>11</v>
      </c>
      <c r="C1482" s="1" t="s">
        <v>530</v>
      </c>
      <c r="D1482" s="1" t="str">
        <f>"2291-2013-EMV"</f>
        <v>2291-2013-EMV</v>
      </c>
      <c r="E1482" s="2"/>
      <c r="F1482" s="1" t="str">
        <f>"0,00"</f>
        <v>0,00</v>
      </c>
      <c r="G1482" s="1" t="str">
        <f>CONCATENATE("20.02.2014.",CHAR(10),"28.2.2014")</f>
        <v>20.02.2014.
28.2.2014</v>
      </c>
      <c r="H1482" s="1" t="str">
        <f>CONCATENATE("PANON TRADE D.O.O., SVETA NEDJELJA")</f>
        <v>PANON TRADE D.O.O., SVETA NEDJELJA</v>
      </c>
      <c r="I1482" s="2"/>
      <c r="J1482" s="1"/>
      <c r="K1482" s="2"/>
    </row>
    <row r="1483" spans="1:11" ht="78.75" x14ac:dyDescent="0.25">
      <c r="A1483" s="1" t="str">
        <f>"87/2014"</f>
        <v>87/2014</v>
      </c>
      <c r="B1483" s="1" t="s">
        <v>14</v>
      </c>
      <c r="C1483" s="1" t="s">
        <v>2674</v>
      </c>
      <c r="D1483" s="1" t="str">
        <f>CONCATENATE("1179-2013-EMV",CHAR(10),"2013/S 002-0072104 od 23.8.2013. ispravak objave 2013/S 014-0072640 od 27.08.2013.")</f>
        <v>1179-2013-EMV
2013/S 002-0072104 od 23.8.2013. ispravak objave 2013/S 014-0072640 od 27.08.2013.</v>
      </c>
      <c r="E1483" s="1" t="s">
        <v>15</v>
      </c>
      <c r="F1483" s="1" t="str">
        <f>"2.195.253,07"</f>
        <v>2.195.253,07</v>
      </c>
      <c r="G1483" s="1" t="str">
        <f>CONCATENATE("20.02.2014.",CHAR(10),"3 mjeseca")</f>
        <v>20.02.2014.
3 mjeseca</v>
      </c>
      <c r="H1483" s="1" t="str">
        <f>CONCATENATE("1. Zajednica ponuditelja: ",CHAR(10),"    TEH-GRADNJA D.O.O., ZAGREB",CHAR(10),"    GEOANDA D.O.O., ZAGREB")</f>
        <v>1. Zajednica ponuditelja: 
    TEH-GRADNJA D.O.O., ZAGREB
    GEOANDA D.O.O., ZAGREB</v>
      </c>
      <c r="I1483" s="2"/>
      <c r="J1483" s="1"/>
      <c r="K1483" s="2"/>
    </row>
    <row r="1484" spans="1:11" ht="47.25" x14ac:dyDescent="0.25">
      <c r="A1484" s="1" t="str">
        <f>"88/2014"</f>
        <v>88/2014</v>
      </c>
      <c r="B1484" s="1" t="s">
        <v>136</v>
      </c>
      <c r="C1484" s="1" t="s">
        <v>2675</v>
      </c>
      <c r="D1484" s="1" t="str">
        <f>CONCATENATE("413-2013-EVV",CHAR(10),"2013/S 002-0087566 od 22.10.2013.")</f>
        <v>413-2013-EVV
2013/S 002-0087566 od 22.10.2013.</v>
      </c>
      <c r="E1484" s="1" t="s">
        <v>366</v>
      </c>
      <c r="F1484" s="1" t="str">
        <f>"1.585.489,00"</f>
        <v>1.585.489,00</v>
      </c>
      <c r="G1484" s="1" t="str">
        <f>CONCATENATE("20.02.2014.",CHAR(10),"2 godine")</f>
        <v>20.02.2014.
2 godine</v>
      </c>
      <c r="H1484" s="1" t="str">
        <f>CONCATENATE("TVIN D.O.O., VIROVITICA")</f>
        <v>TVIN D.O.O., VIROVITICA</v>
      </c>
      <c r="I1484" s="2"/>
      <c r="J1484" s="1"/>
      <c r="K1484" s="2"/>
    </row>
    <row r="1485" spans="1:11" ht="110.25" x14ac:dyDescent="0.25">
      <c r="A1485" s="1" t="str">
        <f>"89/2014"</f>
        <v>89/2014</v>
      </c>
      <c r="B1485" s="1" t="s">
        <v>14</v>
      </c>
      <c r="C1485" s="1" t="s">
        <v>2676</v>
      </c>
      <c r="D1485" s="1" t="str">
        <f>CONCATENATE("2294-2013-EMV",CHAR(10),"2013/S-002-0079469 od 23.9.2013.ispravak objave broj 2013/S-014-0084920 11.10.2013 i ispravak 2013/S-014-0084200 od 14.10.2013.")</f>
        <v>2294-2013-EMV
2013/S-002-0079469 od 23.9.2013.ispravak objave broj 2013/S-014-0084920 11.10.2013 i ispravak 2013/S-014-0084200 od 14.10.2013.</v>
      </c>
      <c r="E1485" s="1" t="s">
        <v>15</v>
      </c>
      <c r="F1485" s="1" t="str">
        <f>"191.000,00"</f>
        <v>191.000,00</v>
      </c>
      <c r="G1485" s="1" t="str">
        <f>CONCATENATE("21.02.2014.",CHAR(10),"30 dana")</f>
        <v>21.02.2014.
30 dana</v>
      </c>
      <c r="H1485" s="1" t="str">
        <f>CONCATENATE("SIEMENS D.D., ZAGREB")</f>
        <v>SIEMENS D.D., ZAGREB</v>
      </c>
      <c r="I1485" s="1" t="s">
        <v>395</v>
      </c>
      <c r="J1485" s="1" t="str">
        <f>SUBSTITUTE(SUBSTITUTE(SUBSTITUTE("238,750.00",".","-"),",","."),"-",",")</f>
        <v>238.750,00</v>
      </c>
      <c r="K1485" s="2"/>
    </row>
    <row r="1486" spans="1:11" ht="47.25" x14ac:dyDescent="0.25">
      <c r="A1486" s="1" t="str">
        <f>"90/2014"</f>
        <v>90/2014</v>
      </c>
      <c r="B1486" s="1" t="s">
        <v>14</v>
      </c>
      <c r="C1486" s="1" t="s">
        <v>2677</v>
      </c>
      <c r="D1486" s="1" t="str">
        <f>CONCATENATE("1136-2013-EMV",CHAR(10),"2013/S 002-0037575 od 23.04.2013.")</f>
        <v>1136-2013-EMV
2013/S 002-0037575 od 23.04.2013.</v>
      </c>
      <c r="E1486" s="1" t="s">
        <v>15</v>
      </c>
      <c r="F1486" s="1" t="str">
        <f>"565.677,76"</f>
        <v>565.677,76</v>
      </c>
      <c r="G1486" s="1" t="str">
        <f>CONCATENATE("21.02.2014.",CHAR(10),"8 mjeseci")</f>
        <v>21.02.2014.
8 mjeseci</v>
      </c>
      <c r="H1486" s="1" t="str">
        <f>CONCATENATE("HEDOM D.O.O., ZAGREB")</f>
        <v>HEDOM D.O.O., ZAGREB</v>
      </c>
      <c r="I1486" s="2"/>
      <c r="J1486" s="1"/>
      <c r="K1486" s="2"/>
    </row>
    <row r="1487" spans="1:11" ht="78.75" x14ac:dyDescent="0.25">
      <c r="A1487" s="1" t="str">
        <f>"91/2014"</f>
        <v>91/2014</v>
      </c>
      <c r="B1487" s="1" t="s">
        <v>14</v>
      </c>
      <c r="C1487" s="1" t="s">
        <v>2678</v>
      </c>
      <c r="D1487" s="1" t="str">
        <f>CONCATENATE("2297-2013-EVV",CHAR(10),"2013/S 002-0079316 od 23.9.2013. ispravak 2013/S 014-0088378 od 23.10.2013.")</f>
        <v>2297-2013-EVV
2013/S 002-0079316 od 23.9.2013. ispravak 2013/S 014-0088378 od 23.10.2013.</v>
      </c>
      <c r="E1487" s="1" t="s">
        <v>15</v>
      </c>
      <c r="F1487" s="1" t="str">
        <f>"1.356.581,26"</f>
        <v>1.356.581,26</v>
      </c>
      <c r="G1487" s="1" t="str">
        <f>CONCATENATE("24.02.2014.",CHAR(10),"30 dana")</f>
        <v>24.02.2014.
30 dana</v>
      </c>
      <c r="H1487" s="1" t="str">
        <f>CONCATENATE("MEDIKA  D.D., ZAGREB")</f>
        <v>MEDIKA  D.D., ZAGREB</v>
      </c>
      <c r="I1487" s="1" t="s">
        <v>396</v>
      </c>
      <c r="J1487" s="1" t="str">
        <f>SUBSTITUTE(SUBSTITUTE(SUBSTITUTE("1,695,726.58",".","-"),",","."),"-",",")</f>
        <v>1.695.726,58</v>
      </c>
      <c r="K1487" s="2"/>
    </row>
    <row r="1488" spans="1:11" ht="47.25" x14ac:dyDescent="0.25">
      <c r="A1488" s="1" t="str">
        <f>"A-28/2014"</f>
        <v>A-28/2014</v>
      </c>
      <c r="B1488" s="1" t="s">
        <v>11</v>
      </c>
      <c r="C1488" s="1" t="s">
        <v>531</v>
      </c>
      <c r="D1488" s="1" t="str">
        <f>"2438-2012-EMV"</f>
        <v>2438-2012-EMV</v>
      </c>
      <c r="E1488" s="2"/>
      <c r="F1488" s="1" t="str">
        <f>"0,00"</f>
        <v>0,00</v>
      </c>
      <c r="G1488" s="1" t="str">
        <f>CONCATENATE("24.02.2014.",CHAR(10),"30.06.2014")</f>
        <v>24.02.2014.
30.06.2014</v>
      </c>
      <c r="H1488" s="1" t="str">
        <f>CONCATENATE("1. Zajednica ponuditelja: ",CHAR(10),"    CARIN D.O.O., ZAGREB",CHAR(10),"    HIDROSTRES D.O.O., ZAGREB")</f>
        <v>1. Zajednica ponuditelja: 
    CARIN D.O.O., ZAGREB
    HIDROSTRES D.O.O., ZAGREB</v>
      </c>
      <c r="I1488" s="2"/>
      <c r="J1488" s="1"/>
      <c r="K1488" s="2"/>
    </row>
    <row r="1489" spans="1:11" ht="63" x14ac:dyDescent="0.25">
      <c r="A1489" s="1" t="str">
        <f>"92/2014"</f>
        <v>92/2014</v>
      </c>
      <c r="B1489" s="1" t="s">
        <v>14</v>
      </c>
      <c r="C1489" s="1" t="s">
        <v>2679</v>
      </c>
      <c r="D1489" s="1" t="str">
        <f>CONCATENATE("741-2012-EMV",CHAR(10),"2012/S 002-0018770 od 11.05.2012.")</f>
        <v>741-2012-EMV
2012/S 002-0018770 od 11.05.2012.</v>
      </c>
      <c r="E1489" s="1" t="s">
        <v>15</v>
      </c>
      <c r="F1489" s="1" t="str">
        <f>"702.306,40"</f>
        <v>702.306,40</v>
      </c>
      <c r="G1489" s="1" t="str">
        <f>CONCATENATE("24.02.2014.",CHAR(10),"6 mjeseci")</f>
        <v>24.02.2014.
6 mjeseci</v>
      </c>
      <c r="H1489" s="1" t="str">
        <f>CONCATENATE("1. Zajednica ponuditelja: ",CHAR(10),"    TA-GRAD D.O.O., ZAGREB",CHAR(10),"    AKADEMSKI KIPAR IVAN BRISKI, ZAGREB")</f>
        <v>1. Zajednica ponuditelja: 
    TA-GRAD D.O.O., ZAGREB
    AKADEMSKI KIPAR IVAN BRISKI, ZAGREB</v>
      </c>
      <c r="I1489" s="2"/>
      <c r="J1489" s="1"/>
      <c r="K1489" s="2"/>
    </row>
    <row r="1490" spans="1:11" ht="31.5" x14ac:dyDescent="0.25">
      <c r="A1490" s="1" t="str">
        <f>"A-29/2014"</f>
        <v>A-29/2014</v>
      </c>
      <c r="B1490" s="1" t="s">
        <v>11</v>
      </c>
      <c r="C1490" s="1" t="s">
        <v>532</v>
      </c>
      <c r="D1490" s="1" t="str">
        <f>"2439-2012-EMV"</f>
        <v>2439-2012-EMV</v>
      </c>
      <c r="E1490" s="2"/>
      <c r="F1490" s="1" t="str">
        <f>"0,00"</f>
        <v>0,00</v>
      </c>
      <c r="G1490" s="1" t="str">
        <f>CONCATENATE("25.02.2014.",CHAR(10),"30.6.2014")</f>
        <v>25.02.2014.
30.6.2014</v>
      </c>
      <c r="H1490" s="1" t="str">
        <f>CONCATENATE("NERING PROJEKT D.O.O., ZAGREB")</f>
        <v>NERING PROJEKT D.O.O., ZAGREB</v>
      </c>
      <c r="I1490" s="2"/>
      <c r="J1490" s="1"/>
      <c r="K1490" s="2"/>
    </row>
    <row r="1491" spans="1:11" ht="47.25" x14ac:dyDescent="0.25">
      <c r="A1491" s="1" t="str">
        <f>"93/2014"</f>
        <v>93/2014</v>
      </c>
      <c r="B1491" s="1" t="s">
        <v>14</v>
      </c>
      <c r="C1491" s="1" t="s">
        <v>1662</v>
      </c>
      <c r="D1491" s="1" t="str">
        <f>CONCATENATE("1478-2013-EMV",CHAR(10),"2013/S 002-0083651 od 07.10.2013.")</f>
        <v>1478-2013-EMV
2013/S 002-0083651 od 07.10.2013.</v>
      </c>
      <c r="E1491" s="1" t="s">
        <v>15</v>
      </c>
      <c r="F1491" s="1" t="str">
        <f>"94.660,00"</f>
        <v>94.660,00</v>
      </c>
      <c r="G1491" s="1" t="str">
        <f>CONCATENATE("25.02.2014.",CHAR(10),"12 mjeseci")</f>
        <v>25.02.2014.
12 mjeseci</v>
      </c>
      <c r="H1491" s="1" t="str">
        <f>CONCATENATE("ADRIA GRUPA D.O.O., ZAGREB")</f>
        <v>ADRIA GRUPA D.O.O., ZAGREB</v>
      </c>
      <c r="I1491" s="2"/>
      <c r="J1491" s="1"/>
      <c r="K1491" s="2"/>
    </row>
    <row r="1492" spans="1:11" ht="47.25" x14ac:dyDescent="0.25">
      <c r="A1492" s="1" t="str">
        <f>"94/2014"</f>
        <v>94/2014</v>
      </c>
      <c r="B1492" s="1" t="s">
        <v>14</v>
      </c>
      <c r="C1492" s="1" t="s">
        <v>2680</v>
      </c>
      <c r="D1492" s="1" t="str">
        <f>CONCATENATE("2869-2013-EMV",CHAR(10),"2013/S 002-0100169 od 09.12.2013.")</f>
        <v>2869-2013-EMV
2013/S 002-0100169 od 09.12.2013.</v>
      </c>
      <c r="E1492" s="1" t="s">
        <v>15</v>
      </c>
      <c r="F1492" s="1" t="str">
        <f>"233.837,40"</f>
        <v>233.837,40</v>
      </c>
      <c r="G1492" s="1" t="str">
        <f>CONCATENATE("26.02.2014.",CHAR(10),"90 dana")</f>
        <v>26.02.2014.
90 dana</v>
      </c>
      <c r="H1492" s="1" t="str">
        <f>CONCATENATE("NERING D.O.O., SESVETE")</f>
        <v>NERING D.O.O., SESVETE</v>
      </c>
      <c r="I1492" s="2"/>
      <c r="J1492" s="1"/>
      <c r="K1492" s="2"/>
    </row>
    <row r="1493" spans="1:11" ht="78.75" x14ac:dyDescent="0.25">
      <c r="A1493" s="1" t="str">
        <f>"95/2014"</f>
        <v>95/2014</v>
      </c>
      <c r="B1493" s="1" t="s">
        <v>14</v>
      </c>
      <c r="C1493" s="1" t="s">
        <v>2681</v>
      </c>
      <c r="D1493" s="1" t="str">
        <f>CONCATENATE("478-2013-EMV",CHAR(10),"2013/S 002-0098716 od 03.12.2013.")</f>
        <v>478-2013-EMV
2013/S 002-0098716 od 03.12.2013.</v>
      </c>
      <c r="E1493" s="1" t="s">
        <v>15</v>
      </c>
      <c r="F1493" s="1" t="str">
        <f>"128.922,70"</f>
        <v>128.922,70</v>
      </c>
      <c r="G1493" s="1" t="str">
        <f>CONCATENATE("26.02.2014.",CHAR(10),"50 dana")</f>
        <v>26.02.2014.
50 dana</v>
      </c>
      <c r="H1493" s="1" t="str">
        <f>CONCATENATE("1. Zajednica ponuditelja: ",CHAR(10),"    TITAN CONSTRUCTA D.O.O., ZAGREB",CHAR(10),"    METIS D.D. PODRUŽNICA KUKULJANOVO, KUKULJANOVO")</f>
        <v>1. Zajednica ponuditelja: 
    TITAN CONSTRUCTA D.O.O., ZAGREB
    METIS D.D. PODRUŽNICA KUKULJANOVO, KUKULJANOVO</v>
      </c>
      <c r="I1493" s="1" t="s">
        <v>533</v>
      </c>
      <c r="J1493" s="1" t="str">
        <f>SUBSTITUTE(SUBSTITUTE(SUBSTITUTE("160,344.06",".","-"),",","."),"-",",")</f>
        <v>160.344,06</v>
      </c>
      <c r="K1493" s="2"/>
    </row>
    <row r="1494" spans="1:11" ht="47.25" x14ac:dyDescent="0.25">
      <c r="A1494" s="1" t="str">
        <f>"96/2014"</f>
        <v>96/2014</v>
      </c>
      <c r="B1494" s="1" t="s">
        <v>14</v>
      </c>
      <c r="C1494" s="1" t="s">
        <v>2682</v>
      </c>
      <c r="D1494" s="1" t="str">
        <f>CONCATENATE("2437-2013-EMV",CHAR(10),"2013/S 002-0089092 od 25.10.2013.")</f>
        <v>2437-2013-EMV
2013/S 002-0089092 od 25.10.2013.</v>
      </c>
      <c r="E1494" s="1" t="s">
        <v>15</v>
      </c>
      <c r="F1494" s="1" t="str">
        <f>"5.757.243,93"</f>
        <v>5.757.243,93</v>
      </c>
      <c r="G1494" s="1" t="str">
        <f>CONCATENATE("26.02.2014.",CHAR(10),"90 dana")</f>
        <v>26.02.2014.
90 dana</v>
      </c>
      <c r="H1494" s="1" t="str">
        <f>CONCATENATE("MEŠIĆ COM D.O.O., ZAGREB")</f>
        <v>MEŠIĆ COM D.O.O., ZAGREB</v>
      </c>
      <c r="I1494" s="2"/>
      <c r="J1494" s="1"/>
      <c r="K1494" s="2"/>
    </row>
    <row r="1495" spans="1:11" ht="47.25" x14ac:dyDescent="0.25">
      <c r="A1495" s="1" t="str">
        <f>"A-30/2014"</f>
        <v>A-30/2014</v>
      </c>
      <c r="B1495" s="1" t="s">
        <v>11</v>
      </c>
      <c r="C1495" s="1" t="s">
        <v>534</v>
      </c>
      <c r="D1495" s="1" t="str">
        <f>"1114-2013-EMV"</f>
        <v>1114-2013-EMV</v>
      </c>
      <c r="E1495" s="2"/>
      <c r="F1495" s="1" t="str">
        <f>"0,00"</f>
        <v>0,00</v>
      </c>
      <c r="G1495" s="1" t="str">
        <f>CONCATENATE("21.02.2014.",CHAR(10),"5 mjeseci")</f>
        <v>21.02.2014.
5 mjeseci</v>
      </c>
      <c r="H1495" s="1" t="str">
        <f>CONCATENATE("1. Zajednica ponuditelja: ",CHAR(10),"    TIM GRADNJA D.O.O., ZAGREB",CHAR(10),"    AKD-ZAŠTITA D.O.O., ZAGREB")</f>
        <v>1. Zajednica ponuditelja: 
    TIM GRADNJA D.O.O., ZAGREB
    AKD-ZAŠTITA D.O.O., ZAGREB</v>
      </c>
      <c r="I1495" s="2"/>
      <c r="J1495" s="1"/>
      <c r="K1495" s="2"/>
    </row>
    <row r="1496" spans="1:11" ht="47.25" x14ac:dyDescent="0.25">
      <c r="A1496" s="1" t="str">
        <f>"97/2014"</f>
        <v>97/2014</v>
      </c>
      <c r="B1496" s="1" t="s">
        <v>14</v>
      </c>
      <c r="C1496" s="1" t="s">
        <v>1133</v>
      </c>
      <c r="D1496" s="1" t="str">
        <f>CONCATENATE("2883-2013-EVV",CHAR(10),"2013/S 002-0102150 od 19.12.2013.")</f>
        <v>2883-2013-EVV
2013/S 002-0102150 od 19.12.2013.</v>
      </c>
      <c r="E1496" s="1" t="s">
        <v>15</v>
      </c>
      <c r="F1496" s="1" t="str">
        <f>"5.237.061,66"</f>
        <v>5.237.061,66</v>
      </c>
      <c r="G1496" s="1" t="str">
        <f>CONCATENATE("27.02.2014.",CHAR(10),"12 mjeseci")</f>
        <v>27.02.2014.
12 mjeseci</v>
      </c>
      <c r="H1496" s="1" t="str">
        <f>CONCATENATE("COMBIS D.O.O., ZAGREB")</f>
        <v>COMBIS D.O.O., ZAGREB</v>
      </c>
      <c r="I1496" s="1" t="s">
        <v>401</v>
      </c>
      <c r="J1496" s="1" t="str">
        <f>SUBSTITUTE(SUBSTITUTE(SUBSTITUTE("6,546,327.08",".","-"),",","."),"-",",")</f>
        <v>6.546.327,08</v>
      </c>
      <c r="K1496" s="2"/>
    </row>
    <row r="1497" spans="1:11" ht="110.25" x14ac:dyDescent="0.25">
      <c r="A1497" s="1" t="str">
        <f>"98/2014"</f>
        <v>98/2014</v>
      </c>
      <c r="B1497" s="1" t="s">
        <v>14</v>
      </c>
      <c r="C1497" s="1" t="s">
        <v>2683</v>
      </c>
      <c r="D1497" s="1" t="str">
        <f>CONCATENATE("1389-2013-EMV",CHAR(10),"2013/S 002-0097612 od 28.11.2013.")</f>
        <v>1389-2013-EMV
2013/S 002-0097612 od 28.11.2013.</v>
      </c>
      <c r="E1497" s="1" t="s">
        <v>15</v>
      </c>
      <c r="F1497" s="1" t="str">
        <f>"54.200,00"</f>
        <v>54.200,00</v>
      </c>
      <c r="G1497" s="1" t="str">
        <f>CONCATENATE("27.02.2014.",CHAR(10),"3 mjeseca")</f>
        <v>27.02.2014.
3 mjeseca</v>
      </c>
      <c r="H1497" s="1" t="str">
        <f>CONCATENATE("1. Zajednica ponuditelja: ",CHAR(10),"    PGT ŠKUNCA D.O.O., ZAGREB-SUSEDGRAD",CHAR(10),"    GEODATA PROJEKT D.O.O., ZAGREB",CHAR(10),"    BAU-PROJEKT D.O.O., JASTREBARSKO",CHAR(10),"    SOŽA D.O.O., ZAGREB")</f>
        <v>1. Zajednica ponuditelja: 
    PGT ŠKUNCA D.O.O., ZAGREB-SUSEDGRAD
    GEODATA PROJEKT D.O.O., ZAGREB
    BAU-PROJEKT D.O.O., JASTREBARSKO
    SOŽA D.O.O., ZAGREB</v>
      </c>
      <c r="I1497" s="2"/>
      <c r="J1497" s="1"/>
      <c r="K1497" s="2"/>
    </row>
    <row r="1498" spans="1:11" ht="47.25" x14ac:dyDescent="0.25">
      <c r="A1498" s="1" t="str">
        <f>"99/2014"</f>
        <v>99/2014</v>
      </c>
      <c r="B1498" s="1" t="s">
        <v>14</v>
      </c>
      <c r="C1498" s="1" t="s">
        <v>2684</v>
      </c>
      <c r="D1498" s="1" t="str">
        <f>CONCATENATE("516-2013-EMV",CHAR(10),"2013/S 002-0094521 od 18.11.2013.")</f>
        <v>516-2013-EMV
2013/S 002-0094521 od 18.11.2013.</v>
      </c>
      <c r="E1498" s="1" t="s">
        <v>15</v>
      </c>
      <c r="F1498" s="1" t="str">
        <f>"1.412.726,36"</f>
        <v>1.412.726,36</v>
      </c>
      <c r="G1498" s="1" t="str">
        <f>CONCATENATE("27.02.2014.",CHAR(10),"90 dana")</f>
        <v>27.02.2014.
90 dana</v>
      </c>
      <c r="H1498" s="1" t="str">
        <f>CONCATENATE("HM-PATRIA D.O.O., ZAGREB")</f>
        <v>HM-PATRIA D.O.O., ZAGREB</v>
      </c>
      <c r="I1498" s="1" t="s">
        <v>389</v>
      </c>
      <c r="J1498" s="1" t="str">
        <f>SUBSTITUTE(SUBSTITUTE(SUBSTITUTE("1,765,882.40",".","-"),",","."),"-",",")</f>
        <v>1.765.882,40</v>
      </c>
      <c r="K1498" s="2"/>
    </row>
    <row r="1499" spans="1:11" ht="47.25" x14ac:dyDescent="0.25">
      <c r="A1499" s="1" t="str">
        <f>"100/2014"</f>
        <v>100/2014</v>
      </c>
      <c r="B1499" s="1" t="s">
        <v>14</v>
      </c>
      <c r="C1499" s="1" t="s">
        <v>2685</v>
      </c>
      <c r="D1499" s="1" t="str">
        <f>CONCATENATE("2433-2013-EMV",CHAR(10),"2013/S 002-0095255 od 15.11.2013.")</f>
        <v>2433-2013-EMV
2013/S 002-0095255 od 15.11.2013.</v>
      </c>
      <c r="E1499" s="1" t="s">
        <v>15</v>
      </c>
      <c r="F1499" s="1" t="str">
        <f>"357.895,00"</f>
        <v>357.895,00</v>
      </c>
      <c r="G1499" s="1" t="str">
        <f>CONCATENATE("27.02.2014.",CHAR(10),"50 dana")</f>
        <v>27.02.2014.
50 dana</v>
      </c>
      <c r="H1499" s="1" t="str">
        <f>CONCATENATE("HM-PATRIA D.O.O., ZAGREB")</f>
        <v>HM-PATRIA D.O.O., ZAGREB</v>
      </c>
      <c r="I1499" s="1" t="s">
        <v>446</v>
      </c>
      <c r="J1499" s="1" t="str">
        <f>SUBSTITUTE(SUBSTITUTE(SUBSTITUTE("375,680.80",".","-"),",","."),"-",",")</f>
        <v>375.680,80</v>
      </c>
      <c r="K1499" s="2"/>
    </row>
    <row r="1500" spans="1:11" ht="47.25" x14ac:dyDescent="0.25">
      <c r="A1500" s="1" t="str">
        <f>"A-31/2014"</f>
        <v>A-31/2014</v>
      </c>
      <c r="B1500" s="1" t="s">
        <v>11</v>
      </c>
      <c r="C1500" s="1" t="s">
        <v>535</v>
      </c>
      <c r="D1500" s="1" t="str">
        <f>"456-2012-EVV"</f>
        <v>456-2012-EVV</v>
      </c>
      <c r="E1500" s="2"/>
      <c r="F1500" s="1" t="str">
        <f>"0,00"</f>
        <v>0,00</v>
      </c>
      <c r="G1500" s="1" t="str">
        <f>CONCATENATE("24.01.2014.",CHAR(10),"do konačne financijske realizacije ugovora")</f>
        <v>24.01.2014.
do konačne financijske realizacije ugovora</v>
      </c>
      <c r="H1500" s="1" t="str">
        <f>CONCATENATE("V GRUPA D.O.O., ZAGREB")</f>
        <v>V GRUPA D.O.O., ZAGREB</v>
      </c>
      <c r="I1500" s="2"/>
      <c r="J1500" s="1"/>
      <c r="K1500" s="2"/>
    </row>
    <row r="1501" spans="1:11" ht="47.25" x14ac:dyDescent="0.25">
      <c r="A1501" s="1" t="str">
        <f>"101/2014"</f>
        <v>101/2014</v>
      </c>
      <c r="B1501" s="1" t="s">
        <v>14</v>
      </c>
      <c r="C1501" s="1" t="s">
        <v>2686</v>
      </c>
      <c r="D1501" s="1" t="str">
        <f>CONCATENATE("2436-2013-EMV",CHAR(10),"2013/S 002-0093940 od 14.11.2013.")</f>
        <v>2436-2013-EMV
2013/S 002-0093940 od 14.11.2013.</v>
      </c>
      <c r="E1501" s="1" t="s">
        <v>15</v>
      </c>
      <c r="F1501" s="1" t="str">
        <f>"158.717,00"</f>
        <v>158.717,00</v>
      </c>
      <c r="G1501" s="1" t="str">
        <f>CONCATENATE("28.02.2014.",CHAR(10),"50 dana")</f>
        <v>28.02.2014.
50 dana</v>
      </c>
      <c r="H1501" s="1" t="str">
        <f>CONCATENATE("FOTON PROMET D.O.O., SESVETE")</f>
        <v>FOTON PROMET D.O.O., SESVETE</v>
      </c>
      <c r="I1501" s="1" t="s">
        <v>536</v>
      </c>
      <c r="J1501" s="1" t="str">
        <f>SUBSTITUTE(SUBSTITUTE(SUBSTITUTE("195,756.17",".","-"),",","."),"-",",")</f>
        <v>195.756,17</v>
      </c>
      <c r="K1501" s="2"/>
    </row>
    <row r="1502" spans="1:11" ht="157.5" x14ac:dyDescent="0.25">
      <c r="A1502" s="1" t="str">
        <f>"A-32/2014"</f>
        <v>A-32/2014</v>
      </c>
      <c r="B1502" s="1" t="s">
        <v>11</v>
      </c>
      <c r="C1502" s="1" t="s">
        <v>537</v>
      </c>
      <c r="D1502" s="1" t="str">
        <f>"1411-2013-EMV"</f>
        <v>1411-2013-EMV</v>
      </c>
      <c r="E1502" s="2"/>
      <c r="F1502" s="1" t="str">
        <f>"0,00"</f>
        <v>0,00</v>
      </c>
      <c r="G1502" s="1" t="str">
        <f>CONCATENATE("28.02.2014.",CHAR(10),"30.4.2014.")</f>
        <v>28.02.2014.
30.4.2014.</v>
      </c>
      <c r="H1502" s="1" t="str">
        <f>CONCATENATE("1. Zajednica ponuditelja: ",CHAR(10),"    PGT ŠKUNCA D.O.O., ZAGREB-SUSEDGRAD",CHAR(10),"    BAU-PROJEKT D.O.O., JASTREBARSKO",CHAR(10),"    OIKON D.O.O., ZAGREB",CHAR(10),"    URED OVLAŠTENOG KRAJOBRAZNOG ARHITEKTA- ROBERT DUIĆ, ZAGREB",CHAR(10),"    GEODATA PROJEKT D.O.O., ZAGREB")</f>
        <v>1. Zajednica ponuditelja: 
    PGT ŠKUNCA D.O.O., ZAGREB-SUSEDGRAD
    BAU-PROJEKT D.O.O., JASTREBARSKO
    OIKON D.O.O., ZAGREB
    URED OVLAŠTENOG KRAJOBRAZNOG ARHITEKTA- ROBERT DUIĆ, ZAGREB
    GEODATA PROJEKT D.O.O., ZAGREB</v>
      </c>
      <c r="I1502" s="2"/>
      <c r="J1502" s="1"/>
      <c r="K1502" s="2"/>
    </row>
    <row r="1503" spans="1:11" ht="78.75" x14ac:dyDescent="0.25">
      <c r="A1503" s="1" t="str">
        <f>"A-33/2014"</f>
        <v>A-33/2014</v>
      </c>
      <c r="B1503" s="1" t="s">
        <v>11</v>
      </c>
      <c r="C1503" s="1" t="s">
        <v>538</v>
      </c>
      <c r="D1503" s="1" t="str">
        <f>"893-2012-EMV"</f>
        <v>893-2012-EMV</v>
      </c>
      <c r="E1503" s="2"/>
      <c r="F1503" s="1" t="str">
        <f>"0,00"</f>
        <v>0,00</v>
      </c>
      <c r="G1503" s="1" t="str">
        <f>CONCATENATE("28.02.2014.",CHAR(10),"16.3.2014")</f>
        <v>28.02.2014.
16.3.2014</v>
      </c>
      <c r="H1503" s="1" t="str">
        <f>CONCATENATE("VERKEHRPLUS PROGNOSE, PLANUNG UND STRATEGIEBERATUNG GMBG, GRAZ",CHAR(10),"ŽELJEZNIČKO PROJEKTNO DRUŠTVO, ZAGREB")</f>
        <v>VERKEHRPLUS PROGNOSE, PLANUNG UND STRATEGIEBERATUNG GMBG, GRAZ
ŽELJEZNIČKO PROJEKTNO DRUŠTVO, ZAGREB</v>
      </c>
      <c r="I1503" s="2"/>
      <c r="J1503" s="1"/>
      <c r="K1503" s="2"/>
    </row>
    <row r="1504" spans="1:11" ht="78.75" x14ac:dyDescent="0.25">
      <c r="A1504" s="1" t="str">
        <f>"A-34/2014"</f>
        <v>A-34/2014</v>
      </c>
      <c r="B1504" s="1" t="s">
        <v>11</v>
      </c>
      <c r="C1504" s="1" t="s">
        <v>539</v>
      </c>
      <c r="D1504" s="1" t="str">
        <f>"892-2012-EMV"</f>
        <v>892-2012-EMV</v>
      </c>
      <c r="E1504" s="2"/>
      <c r="F1504" s="1" t="str">
        <f>"0,00"</f>
        <v>0,00</v>
      </c>
      <c r="G1504" s="1" t="str">
        <f>CONCATENATE("28.02.2014.",CHAR(10),"16.3.2013.")</f>
        <v>28.02.2014.
16.3.2013.</v>
      </c>
      <c r="H1504" s="1" t="str">
        <f>CONCATENATE("VERKEHRPLUS PROGNOSE, PLANUNG UND STRATEGIEBERATUNG GMBG, GRAZ",CHAR(10),"ŽELJEZNIČKO PROJEKTNO DRUŠTVO, ZAGREB")</f>
        <v>VERKEHRPLUS PROGNOSE, PLANUNG UND STRATEGIEBERATUNG GMBG, GRAZ
ŽELJEZNIČKO PROJEKTNO DRUŠTVO, ZAGREB</v>
      </c>
      <c r="I1504" s="2"/>
      <c r="J1504" s="1"/>
      <c r="K1504" s="2"/>
    </row>
    <row r="1505" spans="1:11" ht="63" x14ac:dyDescent="0.25">
      <c r="A1505" s="1" t="str">
        <f>"102/2014"</f>
        <v>102/2014</v>
      </c>
      <c r="B1505" s="1" t="s">
        <v>14</v>
      </c>
      <c r="C1505" s="1" t="s">
        <v>2687</v>
      </c>
      <c r="D1505" s="1" t="str">
        <f>CONCATENATE("2737-2013-EMV",CHAR(10),"2013/S 002-0091179 od 05.11.2013.")</f>
        <v>2737-2013-EMV
2013/S 002-0091179 od 05.11.2013.</v>
      </c>
      <c r="E1505" s="1" t="s">
        <v>15</v>
      </c>
      <c r="F1505" s="1" t="str">
        <f>"3.553.506,62"</f>
        <v>3.553.506,62</v>
      </c>
      <c r="G1505" s="1" t="str">
        <f>CONCATENATE("28.02.2014.",CHAR(10),"6 mjeseci")</f>
        <v>28.02.2014.
6 mjeseci</v>
      </c>
      <c r="H1505" s="1" t="str">
        <f>CONCATENATE("1. Zajednica ponuditelja: ",CHAR(10),"    TEH-GRADNJA D.O.O., ZAGREB",CHAR(10),"    GEOANDA D.O.O., ZAGREB",CHAR(10),"    C.I.A.K. D.O.O., ZAGREB")</f>
        <v>1. Zajednica ponuditelja: 
    TEH-GRADNJA D.O.O., ZAGREB
    GEOANDA D.O.O., ZAGREB
    C.I.A.K. D.O.O., ZAGREB</v>
      </c>
      <c r="I1505" s="2"/>
      <c r="J1505" s="1"/>
      <c r="K1505" s="2"/>
    </row>
    <row r="1506" spans="1:11" ht="47.25" x14ac:dyDescent="0.25">
      <c r="A1506" s="1" t="str">
        <f>"103/2014"</f>
        <v>103/2014</v>
      </c>
      <c r="B1506" s="1" t="s">
        <v>14</v>
      </c>
      <c r="C1506" s="1" t="s">
        <v>2688</v>
      </c>
      <c r="D1506" s="1" t="str">
        <f>CONCATENATE("1277-2013-EMV",CHAR(10),"2013/S 002-0099248 od 04.12.2013.")</f>
        <v>1277-2013-EMV
2013/S 002-0099248 od 04.12.2013.</v>
      </c>
      <c r="E1506" s="1" t="s">
        <v>15</v>
      </c>
      <c r="F1506" s="1" t="str">
        <f>"228.850,00"</f>
        <v>228.850,00</v>
      </c>
      <c r="G1506" s="1" t="str">
        <f>CONCATENATE("28.02.2014.",CHAR(10),"12 mjeseci")</f>
        <v>28.02.2014.
12 mjeseci</v>
      </c>
      <c r="H1506" s="1" t="str">
        <f>CONCATENATE("1. Zajednica ponuditelja: ",CHAR(10),"    GEOAQUA D.O.O., ZAGREB",CHAR(10),"    GEOINDEX D.O.O., ZAGREB")</f>
        <v>1. Zajednica ponuditelja: 
    GEOAQUA D.O.O., ZAGREB
    GEOINDEX D.O.O., ZAGREB</v>
      </c>
      <c r="I1506" s="1" t="s">
        <v>540</v>
      </c>
      <c r="J1506" s="1" t="str">
        <f>SUBSTITUTE(SUBSTITUTE(SUBSTITUTE("285,020.00",".","-"),",","."),"-",",")</f>
        <v>285.020,00</v>
      </c>
      <c r="K1506" s="2"/>
    </row>
    <row r="1507" spans="1:11" ht="47.25" x14ac:dyDescent="0.25">
      <c r="A1507" s="1" t="str">
        <f>"104/2014"</f>
        <v>104/2014</v>
      </c>
      <c r="B1507" s="1" t="s">
        <v>14</v>
      </c>
      <c r="C1507" s="1" t="s">
        <v>2689</v>
      </c>
      <c r="D1507" s="1" t="str">
        <f>CONCATENATE("2745-2013-EMV",CHAR(10),"2013/S 002-0087934 od 22.10.2013.")</f>
        <v>2745-2013-EMV
2013/S 002-0087934 od 22.10.2013.</v>
      </c>
      <c r="E1507" s="1" t="s">
        <v>15</v>
      </c>
      <c r="F1507" s="1" t="str">
        <f>"196.273,68"</f>
        <v>196.273,68</v>
      </c>
      <c r="G1507" s="1" t="str">
        <f>CONCATENATE("28.02.2014.",CHAR(10),"30 dana")</f>
        <v>28.02.2014.
30 dana</v>
      </c>
      <c r="H1507" s="1" t="str">
        <f>CONCATENATE("1. Zajednica ponuditelja: ",CHAR(10),"    AMB GRADNJA D.O.O., ZAGREB",CHAR(10),"    GEOFORMAT D.O.O., ZAGREB")</f>
        <v>1. Zajednica ponuditelja: 
    AMB GRADNJA D.O.O., ZAGREB
    GEOFORMAT D.O.O., ZAGREB</v>
      </c>
      <c r="I1507" s="2"/>
      <c r="J1507" s="1"/>
      <c r="K1507" s="2"/>
    </row>
    <row r="1508" spans="1:11" ht="47.25" x14ac:dyDescent="0.25">
      <c r="A1508" s="1" t="str">
        <f>"105/2014"</f>
        <v>105/2014</v>
      </c>
      <c r="B1508" s="1" t="s">
        <v>14</v>
      </c>
      <c r="C1508" s="1" t="s">
        <v>2690</v>
      </c>
      <c r="D1508" s="1" t="str">
        <f>CONCATENATE("246-2013-EVV",CHAR(10),"2013/S 002-0087774 od 22.10.2013.")</f>
        <v>246-2013-EVV
2013/S 002-0087774 od 22.10.2013.</v>
      </c>
      <c r="E1508" s="1" t="s">
        <v>15</v>
      </c>
      <c r="F1508" s="1" t="str">
        <f>"4.043.594,20"</f>
        <v>4.043.594,20</v>
      </c>
      <c r="G1508" s="1" t="str">
        <f>CONCATENATE("03.03.2014.",CHAR(10),"12 mjeseci")</f>
        <v>03.03.2014.
12 mjeseci</v>
      </c>
      <c r="H1508" s="1" t="str">
        <f>CONCATENATE("KING ICT D.O.O., ZAGREB")</f>
        <v>KING ICT D.O.O., ZAGREB</v>
      </c>
      <c r="I1508" s="1" t="s">
        <v>456</v>
      </c>
      <c r="J1508" s="1" t="str">
        <f>SUBSTITUTE(SUBSTITUTE(SUBSTITUTE("5,054,492.75",".","-"),",","."),"-",",")</f>
        <v>5.054.492,75</v>
      </c>
      <c r="K1508" s="2"/>
    </row>
    <row r="1509" spans="1:11" ht="78.75" x14ac:dyDescent="0.25">
      <c r="A1509" s="1" t="str">
        <f>"106/2014"</f>
        <v>106/2014</v>
      </c>
      <c r="B1509" s="1" t="s">
        <v>14</v>
      </c>
      <c r="C1509" s="1" t="s">
        <v>2691</v>
      </c>
      <c r="D1509" s="1" t="str">
        <f>CONCATENATE("1254-2013-EMV",CHAR(10),"2013/S 002-0093731od 14.10. 2013 i ispravak objave 2013/S 014-0099581 od 05.12.2013.")</f>
        <v>1254-2013-EMV
2013/S 002-0093731od 14.10. 2013 i ispravak objave 2013/S 014-0099581 od 05.12.2013.</v>
      </c>
      <c r="E1509" s="1" t="s">
        <v>15</v>
      </c>
      <c r="F1509" s="1" t="str">
        <f>"837.650,00"</f>
        <v>837.650,00</v>
      </c>
      <c r="G1509" s="1" t="str">
        <f>CONCATENATE("03.03.2014.",CHAR(10),"12 mjeseci")</f>
        <v>03.03.2014.
12 mjeseci</v>
      </c>
      <c r="H1509" s="1" t="str">
        <f>CONCATENATE("TELEKTRA D.O.O., SESVETE")</f>
        <v>TELEKTRA D.O.O., SESVETE</v>
      </c>
      <c r="I1509" s="2"/>
      <c r="J1509" s="1"/>
      <c r="K1509" s="2"/>
    </row>
    <row r="1510" spans="1:11" ht="63" x14ac:dyDescent="0.25">
      <c r="A1510" s="1" t="str">
        <f>"107/2014"</f>
        <v>107/2014</v>
      </c>
      <c r="B1510" s="1" t="s">
        <v>14</v>
      </c>
      <c r="C1510" s="1" t="s">
        <v>2692</v>
      </c>
      <c r="D1510" s="1" t="str">
        <f>CONCATENATE("2768-2013-EMV",CHAR(10),"2013/S 002-0093954 od 14.11.2013.")</f>
        <v>2768-2013-EMV
2013/S 002-0093954 od 14.11.2013.</v>
      </c>
      <c r="E1510" s="1" t="s">
        <v>15</v>
      </c>
      <c r="F1510" s="1" t="str">
        <f>"237.500,00"</f>
        <v>237.500,00</v>
      </c>
      <c r="G1510" s="1" t="str">
        <f>CONCATENATE("04.03.2014.",CHAR(10),"70 dana")</f>
        <v>04.03.2014.
70 dana</v>
      </c>
      <c r="H1510" s="1" t="str">
        <f>CONCATENATE("1. Zajednica ponuditelja: ",CHAR(10),"    GEOTEHNIČKI STUDIO D.O.O., ZAGREB-SUSEDGRAD",CHAR(10),"    TAHIMETAR D.O.O., SESVETE")</f>
        <v>1. Zajednica ponuditelja: 
    GEOTEHNIČKI STUDIO D.O.O., ZAGREB-SUSEDGRAD
    TAHIMETAR D.O.O., SESVETE</v>
      </c>
      <c r="I1510" s="2"/>
      <c r="J1510" s="1"/>
      <c r="K1510" s="2"/>
    </row>
    <row r="1511" spans="1:11" ht="63" x14ac:dyDescent="0.25">
      <c r="A1511" s="1" t="str">
        <f>"108/2014"</f>
        <v>108/2014</v>
      </c>
      <c r="B1511" s="1" t="s">
        <v>14</v>
      </c>
      <c r="C1511" s="1" t="s">
        <v>2693</v>
      </c>
      <c r="D1511" s="1" t="str">
        <f>CONCATENATE("318-2013-EMV",CHAR(10),"2013/S 002-0103080 od 23.12.2013.")</f>
        <v>318-2013-EMV
2013/S 002-0103080 od 23.12.2013.</v>
      </c>
      <c r="E1511" s="1" t="s">
        <v>15</v>
      </c>
      <c r="F1511" s="1" t="str">
        <f>"124.000,00"</f>
        <v>124.000,00</v>
      </c>
      <c r="G1511" s="1" t="str">
        <f>CONCATENATE("05.03.2014.",CHAR(10),"90 dana")</f>
        <v>05.03.2014.
90 dana</v>
      </c>
      <c r="H1511" s="1" t="str">
        <f>CONCATENATE("INŽENJERSKI BIRO D.D., ZAGREB")</f>
        <v>INŽENJERSKI BIRO D.D., ZAGREB</v>
      </c>
      <c r="I1511" s="1" t="s">
        <v>427</v>
      </c>
      <c r="J1511" s="1" t="str">
        <f>SUBSTITUTE(SUBSTITUTE(SUBSTITUTE("155,000.00",".","-"),",","."),"-",",")</f>
        <v>155.000,00</v>
      </c>
      <c r="K1511" s="2"/>
    </row>
    <row r="1512" spans="1:11" ht="47.25" x14ac:dyDescent="0.25">
      <c r="A1512" s="1" t="str">
        <f>"109/2014"</f>
        <v>109/2014</v>
      </c>
      <c r="B1512" s="1" t="s">
        <v>14</v>
      </c>
      <c r="C1512" s="1" t="s">
        <v>2694</v>
      </c>
      <c r="D1512" s="1" t="str">
        <f>CONCATENATE("178-2013-EMV",CHAR(10),"2013/S 002-0100075 od 09.12.2013.")</f>
        <v>178-2013-EMV
2013/S 002-0100075 od 09.12.2013.</v>
      </c>
      <c r="E1512" s="1" t="s">
        <v>15</v>
      </c>
      <c r="F1512" s="1" t="str">
        <f>"68.500,00"</f>
        <v>68.500,00</v>
      </c>
      <c r="G1512" s="1" t="str">
        <f>CONCATENATE("05.03.2014.",CHAR(10),"12 mjeseci")</f>
        <v>05.03.2014.
12 mjeseci</v>
      </c>
      <c r="H1512" s="1" t="str">
        <f>CONCATENATE("PRIMAT -  RD D.O.O., HRVATSKI LESKOVAC")</f>
        <v>PRIMAT -  RD D.O.O., HRVATSKI LESKOVAC</v>
      </c>
      <c r="I1512" s="1" t="s">
        <v>520</v>
      </c>
      <c r="J1512" s="1" t="str">
        <f>SUBSTITUTE(SUBSTITUTE(SUBSTITUTE("85,600.00",".","-"),",","."),"-",",")</f>
        <v>85.600,00</v>
      </c>
      <c r="K1512" s="2"/>
    </row>
    <row r="1513" spans="1:11" ht="47.25" x14ac:dyDescent="0.25">
      <c r="A1513" s="1" t="str">
        <f>"110/2014"</f>
        <v>110/2014</v>
      </c>
      <c r="B1513" s="1" t="s">
        <v>14</v>
      </c>
      <c r="C1513" s="1" t="s">
        <v>2695</v>
      </c>
      <c r="D1513" s="1" t="str">
        <f>CONCATENATE("337-2013-EMV",CHAR(10),"2014/S 015-0004623 od 31.01.2014.")</f>
        <v>337-2013-EMV
2014/S 015-0004623 od 31.01.2014.</v>
      </c>
      <c r="E1513" s="1" t="s">
        <v>12</v>
      </c>
      <c r="F1513" s="1" t="str">
        <f>"150.000,00"</f>
        <v>150.000,00</v>
      </c>
      <c r="G1513" s="1" t="str">
        <f>CONCATENATE("05.03.2014.",CHAR(10),"8 mjeseci")</f>
        <v>05.03.2014.
8 mjeseci</v>
      </c>
      <c r="H1513" s="1" t="str">
        <f>CONCATENATE("MUZEJ GRADA ZAGREBA, ZAGREB")</f>
        <v>MUZEJ GRADA ZAGREBA, ZAGREB</v>
      </c>
      <c r="I1513" s="2"/>
      <c r="J1513" s="1"/>
      <c r="K1513" s="2"/>
    </row>
    <row r="1514" spans="1:11" ht="94.5" x14ac:dyDescent="0.25">
      <c r="A1514" s="1" t="str">
        <f>"111/2014"</f>
        <v>111/2014</v>
      </c>
      <c r="B1514" s="1" t="s">
        <v>14</v>
      </c>
      <c r="C1514" s="1" t="s">
        <v>2696</v>
      </c>
      <c r="D1514" s="1" t="str">
        <f>CONCATENATE("2852-2013-EMV",CHAR(10),"2013/S 002-0089834 od 29.10.2013.")</f>
        <v>2852-2013-EMV
2013/S 002-0089834 od 29.10.2013.</v>
      </c>
      <c r="E1514" s="1" t="s">
        <v>15</v>
      </c>
      <c r="F1514" s="1" t="str">
        <f>"2.075.468,00"</f>
        <v>2.075.468,00</v>
      </c>
      <c r="G1514" s="1" t="str">
        <f>CONCATENATE("05.03.2014.",CHAR(10),"3 mjeseca")</f>
        <v>05.03.2014.
3 mjeseca</v>
      </c>
      <c r="H1514" s="1" t="str">
        <f>CONCATENATE("1. Zajednica ponuditelja: ",CHAR(10),"    O.K.I. MONT D.O.O., ZAGREB",CHAR(10),"    KEMIS-TERMOCLEAN D.O.O., ZAGREB",CHAR(10),"    EKO-MONITORING D.O.O., VARAŽDIN")</f>
        <v>1. Zajednica ponuditelja: 
    O.K.I. MONT D.O.O., ZAGREB
    KEMIS-TERMOCLEAN D.O.O., ZAGREB
    EKO-MONITORING D.O.O., VARAŽDIN</v>
      </c>
      <c r="I1514" s="1" t="s">
        <v>77</v>
      </c>
      <c r="J1514" s="1" t="str">
        <f>SUBSTITUTE(SUBSTITUTE(SUBSTITUTE("2,593,626.63",".","-"),",","."),"-",",")</f>
        <v>2.593.626,63</v>
      </c>
      <c r="K1514" s="2"/>
    </row>
    <row r="1515" spans="1:11" ht="78.75" x14ac:dyDescent="0.25">
      <c r="A1515" s="1" t="str">
        <f>"112/2014"</f>
        <v>112/2014</v>
      </c>
      <c r="B1515" s="1" t="s">
        <v>14</v>
      </c>
      <c r="C1515" s="1" t="s">
        <v>2697</v>
      </c>
      <c r="D1515" s="1" t="str">
        <f>CONCATENATE("2873-2013-EMV",CHAR(10),"2013/S 015-0104278 od 31.12.2013.")</f>
        <v>2873-2013-EMV
2013/S 015-0104278 od 31.12.2013.</v>
      </c>
      <c r="E1515" s="1" t="s">
        <v>12</v>
      </c>
      <c r="F1515" s="1" t="str">
        <f>"379.000,00"</f>
        <v>379.000,00</v>
      </c>
      <c r="G1515" s="1" t="str">
        <f>CONCATENATE("06.03.2014.",CHAR(10),"45 dana")</f>
        <v>06.03.2014.
45 dana</v>
      </c>
      <c r="H1515" s="1" t="str">
        <f>CONCATENATE("1. Zajednica ponuditelja: ",CHAR(10),"    OIKON D.O.O., ZAGREB",CHAR(10),"    INSTITUT IGH D.D., ZAGREB",CHAR(10),"    IPZ UNIPROJEKT MCF D.O.O., ZAGREB")</f>
        <v>1. Zajednica ponuditelja: 
    OIKON D.O.O., ZAGREB
    INSTITUT IGH D.D., ZAGREB
    IPZ UNIPROJEKT MCF D.O.O., ZAGREB</v>
      </c>
      <c r="I1515" s="1" t="s">
        <v>541</v>
      </c>
      <c r="J1515" s="1" t="str">
        <f>SUBSTITUTE(SUBSTITUTE(SUBSTITUTE("473,750.00",".","-"),",","."),"-",",")</f>
        <v>473.750,00</v>
      </c>
      <c r="K1515" s="2"/>
    </row>
    <row r="1516" spans="1:11" ht="47.25" x14ac:dyDescent="0.25">
      <c r="A1516" s="1" t="str">
        <f>"113/2014"</f>
        <v>113/2014</v>
      </c>
      <c r="B1516" s="1" t="s">
        <v>14</v>
      </c>
      <c r="C1516" s="1" t="s">
        <v>2698</v>
      </c>
      <c r="D1516" s="1" t="str">
        <f>CONCATENATE("1188-2013-EMV",CHAR(10),"2013/S 002-0090482 od 31.10.2013.")</f>
        <v>1188-2013-EMV
2013/S 002-0090482 od 31.10.2013.</v>
      </c>
      <c r="E1516" s="1" t="s">
        <v>15</v>
      </c>
      <c r="F1516" s="1" t="str">
        <f>"388.570,28"</f>
        <v>388.570,28</v>
      </c>
      <c r="G1516" s="1" t="str">
        <f>CONCATENATE("06.03.2014.",CHAR(10),"30 dana")</f>
        <v>06.03.2014.
30 dana</v>
      </c>
      <c r="H1516" s="1" t="str">
        <f>CONCATENATE("VODOTEHNIKA D.D., ZAGREB")</f>
        <v>VODOTEHNIKA D.D., ZAGREB</v>
      </c>
      <c r="I1516" s="2"/>
      <c r="J1516" s="1"/>
      <c r="K1516" s="2"/>
    </row>
    <row r="1517" spans="1:11" ht="78.75" x14ac:dyDescent="0.25">
      <c r="A1517" s="1" t="str">
        <f>"A-35/2014"</f>
        <v>A-35/2014</v>
      </c>
      <c r="B1517" s="1" t="s">
        <v>11</v>
      </c>
      <c r="C1517" s="1" t="s">
        <v>542</v>
      </c>
      <c r="D1517" s="1" t="str">
        <f>"1640-2013-EMV"</f>
        <v>1640-2013-EMV</v>
      </c>
      <c r="E1517" s="2"/>
      <c r="F1517" s="1" t="str">
        <f>"0,00"</f>
        <v>0,00</v>
      </c>
      <c r="G1517" s="1" t="str">
        <f>CONCATENATE("07.03.2014.",CHAR(10),"produžuje se za 40 dana")</f>
        <v>07.03.2014.
produžuje se za 40 dana</v>
      </c>
      <c r="H1517" s="1" t="str">
        <f>CONCATENATE("1. Zajednica ponuditelja: ",CHAR(10),"    PROING D.O.O., ZAGREB",CHAR(10),"    TERMOPROJEKT BOTICA D.O.O., ZADAR",CHAR(10),"    ELAG D.O.O., ZAGREB")</f>
        <v>1. Zajednica ponuditelja: 
    PROING D.O.O., ZAGREB
    TERMOPROJEKT BOTICA D.O.O., ZADAR
    ELAG D.O.O., ZAGREB</v>
      </c>
      <c r="I1517" s="2"/>
      <c r="J1517" s="1"/>
      <c r="K1517" s="2"/>
    </row>
    <row r="1518" spans="1:11" ht="63" x14ac:dyDescent="0.25">
      <c r="A1518" s="1" t="str">
        <f>"114/2014"</f>
        <v>114/2014</v>
      </c>
      <c r="B1518" s="1" t="s">
        <v>14</v>
      </c>
      <c r="C1518" s="1" t="s">
        <v>1304</v>
      </c>
      <c r="D1518" s="1" t="str">
        <f>CONCATENATE("45-2013-EMV",CHAR(10),"2013/S 002-0098948 od 04.12.2013.")</f>
        <v>45-2013-EMV
2013/S 002-0098948 od 04.12.2013.</v>
      </c>
      <c r="E1518" s="1" t="s">
        <v>15</v>
      </c>
      <c r="F1518" s="1" t="str">
        <f>"298.592,00"</f>
        <v>298.592,00</v>
      </c>
      <c r="G1518" s="1" t="str">
        <f>CONCATENATE("07.03.2014.",CHAR(10),"12 mjeseci")</f>
        <v>07.03.2014.
12 mjeseci</v>
      </c>
      <c r="H1518" s="1" t="str">
        <f>CONCATENATE("URIHO - USTANOVA ZA PROFESIONALNU REHABILITACIJU I ZAPOŠLJAVANJE OSOBA S INVALIDITETOM, ZAGREB")</f>
        <v>URIHO - USTANOVA ZA PROFESIONALNU REHABILITACIJU I ZAPOŠLJAVANJE OSOBA S INVALIDITETOM, ZAGREB</v>
      </c>
      <c r="I1518" s="1" t="s">
        <v>543</v>
      </c>
      <c r="J1518" s="1" t="str">
        <f>SUBSTITUTE(SUBSTITUTE(SUBSTITUTE("369,180.00",".","-"),",","."),"-",",")</f>
        <v>369.180,00</v>
      </c>
      <c r="K1518" s="2"/>
    </row>
    <row r="1519" spans="1:11" ht="47.25" x14ac:dyDescent="0.25">
      <c r="A1519" s="1" t="str">
        <f>"115/2014"</f>
        <v>115/2014</v>
      </c>
      <c r="B1519" s="1" t="s">
        <v>14</v>
      </c>
      <c r="C1519" s="1" t="s">
        <v>2699</v>
      </c>
      <c r="D1519" s="1" t="str">
        <f>CONCATENATE("2356-2013-EMV",CHAR(10),"2013/S 002-0103267 od 23.12.2013.")</f>
        <v>2356-2013-EMV
2013/S 002-0103267 od 23.12.2013.</v>
      </c>
      <c r="E1519" s="1" t="s">
        <v>15</v>
      </c>
      <c r="F1519" s="1" t="str">
        <f>"269.803,39"</f>
        <v>269.803,39</v>
      </c>
      <c r="G1519" s="1" t="str">
        <f>CONCATENATE("07.03.2014.",CHAR(10),"60 dana")</f>
        <v>07.03.2014.
60 dana</v>
      </c>
      <c r="H1519" s="1" t="str">
        <f>CONCATENATE("1. Zajednica ponuditelja: ",CHAR(10),"    TERMOMONTING D.O.O., ZAGREB",CHAR(10),"    SBT D.O.O., ZAGREB")</f>
        <v>1. Zajednica ponuditelja: 
    TERMOMONTING D.O.O., ZAGREB
    SBT D.O.O., ZAGREB</v>
      </c>
      <c r="I1519" s="1" t="s">
        <v>461</v>
      </c>
      <c r="J1519" s="1" t="str">
        <f>SUBSTITUTE(SUBSTITUTE(SUBSTITUTE("337,254.24",".","-"),",","."),"-",",")</f>
        <v>337.254,24</v>
      </c>
      <c r="K1519" s="2"/>
    </row>
    <row r="1520" spans="1:11" ht="78.75" x14ac:dyDescent="0.25">
      <c r="A1520" s="1" t="str">
        <f>"116/2014"</f>
        <v>116/2014</v>
      </c>
      <c r="B1520" s="1" t="s">
        <v>14</v>
      </c>
      <c r="C1520" s="1" t="s">
        <v>2700</v>
      </c>
      <c r="D1520" s="1" t="str">
        <f>CONCATENATE("1643-2013-EMV",CHAR(10),"2013/S 002-0070852 od 16.08.2013.")</f>
        <v>1643-2013-EMV
2013/S 002-0070852 od 16.08.2013.</v>
      </c>
      <c r="E1520" s="1" t="s">
        <v>15</v>
      </c>
      <c r="F1520" s="1" t="str">
        <f>"398.100,00"</f>
        <v>398.100,00</v>
      </c>
      <c r="G1520" s="1" t="str">
        <f>CONCATENATE("07.03.2014.",CHAR(10),"5 mjeseci")</f>
        <v>07.03.2014.
5 mjeseci</v>
      </c>
      <c r="H1520" s="1" t="str">
        <f>CONCATENATE("1. Zajednica ponuditelja: ",CHAR(10),"    ING EKSPERT D.O.O., ZAGREB",CHAR(10),"    ELVING PROJEKTIRANJE D.O.O., NOVI MAROF",CHAR(10),"    INTERKONZALTING D.O.O., ZAGREB")</f>
        <v>1. Zajednica ponuditelja: 
    ING EKSPERT D.O.O., ZAGREB
    ELVING PROJEKTIRANJE D.O.O., NOVI MAROF
    INTERKONZALTING D.O.O., ZAGREB</v>
      </c>
      <c r="I1520" s="2"/>
      <c r="J1520" s="1"/>
      <c r="K1520" s="2"/>
    </row>
    <row r="1521" spans="1:11" ht="78.75" x14ac:dyDescent="0.25">
      <c r="A1521" s="1" t="str">
        <f>"117/2014"</f>
        <v>117/2014</v>
      </c>
      <c r="B1521" s="1" t="s">
        <v>14</v>
      </c>
      <c r="C1521" s="1" t="s">
        <v>2701</v>
      </c>
      <c r="D1521" s="1" t="str">
        <f>CONCATENATE("2831-2013-EMV",CHAR(10),"2013/S 002-0088795 25.10.2013. ispravak 2013/S 014-0089903 od 29.10.2013.")</f>
        <v>2831-2013-EMV
2013/S 002-0088795 25.10.2013. ispravak 2013/S 014-0089903 od 29.10.2013.</v>
      </c>
      <c r="E1521" s="1" t="s">
        <v>15</v>
      </c>
      <c r="F1521" s="1" t="str">
        <f>"161.000,00"</f>
        <v>161.000,00</v>
      </c>
      <c r="G1521" s="1" t="str">
        <f>CONCATENATE("07.03.2014.",CHAR(10),"6 mjeseci")</f>
        <v>07.03.2014.
6 mjeseci</v>
      </c>
      <c r="H1521" s="1" t="str">
        <f>CONCATENATE("ING EKSPERT D.O.O., ZAGREB")</f>
        <v>ING EKSPERT D.O.O., ZAGREB</v>
      </c>
      <c r="I1521" s="2"/>
      <c r="J1521" s="1"/>
      <c r="K1521" s="2"/>
    </row>
    <row r="1522" spans="1:11" ht="47.25" x14ac:dyDescent="0.25">
      <c r="A1522" s="1" t="str">
        <f>"118/2014"</f>
        <v>118/2014</v>
      </c>
      <c r="B1522" s="1" t="s">
        <v>14</v>
      </c>
      <c r="C1522" s="1" t="s">
        <v>2702</v>
      </c>
      <c r="D1522" s="1" t="str">
        <f>CONCATENATE("1941-2013-EMV",CHAR(10),"2013/S 002-0094743 od 18.11.2013.")</f>
        <v>1941-2013-EMV
2013/S 002-0094743 od 18.11.2013.</v>
      </c>
      <c r="E1522" s="1" t="s">
        <v>15</v>
      </c>
      <c r="F1522" s="1" t="str">
        <f>"92.400,00"</f>
        <v>92.400,00</v>
      </c>
      <c r="G1522" s="1" t="str">
        <f>CONCATENATE("10.03.2014.",CHAR(10),"12 mjeseci")</f>
        <v>10.03.2014.
12 mjeseci</v>
      </c>
      <c r="H1522" s="1" t="str">
        <f>CONCATENATE("CONNECTO PROJEKT D.O.O., VARAŽDIN")</f>
        <v>CONNECTO PROJEKT D.O.O., VARAŽDIN</v>
      </c>
      <c r="I1522" s="2"/>
      <c r="J1522" s="1"/>
      <c r="K1522" s="2"/>
    </row>
    <row r="1523" spans="1:11" ht="47.25" x14ac:dyDescent="0.25">
      <c r="A1523" s="1" t="str">
        <f>"119/2014"</f>
        <v>119/2014</v>
      </c>
      <c r="B1523" s="1" t="s">
        <v>14</v>
      </c>
      <c r="C1523" s="1" t="s">
        <v>2703</v>
      </c>
      <c r="D1523" s="1" t="str">
        <f>CONCATENATE("2767-2013-EMV",CHAR(10),"2013/S 002-0093639 od 14.11.2013.")</f>
        <v>2767-2013-EMV
2013/S 002-0093639 od 14.11.2013.</v>
      </c>
      <c r="E1523" s="1" t="s">
        <v>15</v>
      </c>
      <c r="F1523" s="1" t="str">
        <f>"170.500,00"</f>
        <v>170.500,00</v>
      </c>
      <c r="G1523" s="1" t="str">
        <f>CONCATENATE("10.03.2014.",CHAR(10),"70 dana")</f>
        <v>10.03.2014.
70 dana</v>
      </c>
      <c r="H1523" s="1" t="str">
        <f>CONCATENATE("INSTITUT IGH D.D., ZAGREB")</f>
        <v>INSTITUT IGH D.D., ZAGREB</v>
      </c>
      <c r="I1523" s="1" t="s">
        <v>199</v>
      </c>
      <c r="J1523" s="1" t="str">
        <f>SUBSTITUTE(SUBSTITUTE(SUBSTITUTE("213,125.00",".","-"),",","."),"-",",")</f>
        <v>213.125,00</v>
      </c>
      <c r="K1523" s="2"/>
    </row>
    <row r="1524" spans="1:11" ht="31.5" x14ac:dyDescent="0.25">
      <c r="A1524" s="1" t="str">
        <f>"A-36/2014"</f>
        <v>A-36/2014</v>
      </c>
      <c r="B1524" s="1" t="s">
        <v>11</v>
      </c>
      <c r="C1524" s="1" t="s">
        <v>544</v>
      </c>
      <c r="D1524" s="2"/>
      <c r="E1524" s="2"/>
      <c r="F1524" s="1" t="str">
        <f>"0,00"</f>
        <v>0,00</v>
      </c>
      <c r="G1524" s="1" t="str">
        <f>CONCATENATE("10.03.2014.",CHAR(10),"31.3.2014")</f>
        <v>10.03.2014.
31.3.2014</v>
      </c>
      <c r="H1524" s="1" t="str">
        <f>CONCATENATE("DIV D.O.O., SAMOBOR")</f>
        <v>DIV D.O.O., SAMOBOR</v>
      </c>
      <c r="I1524" s="2"/>
      <c r="J1524" s="1"/>
      <c r="K1524" s="2"/>
    </row>
    <row r="1525" spans="1:11" ht="31.5" x14ac:dyDescent="0.25">
      <c r="A1525" s="1" t="str">
        <f>"A-37/2014"</f>
        <v>A-37/2014</v>
      </c>
      <c r="B1525" s="1" t="s">
        <v>11</v>
      </c>
      <c r="C1525" s="1" t="s">
        <v>545</v>
      </c>
      <c r="D1525" s="1" t="str">
        <f>"2949-2013-EMV"</f>
        <v>2949-2013-EMV</v>
      </c>
      <c r="E1525" s="2"/>
      <c r="F1525" s="1" t="str">
        <f>"0,00"</f>
        <v>0,00</v>
      </c>
      <c r="G1525" s="1" t="str">
        <f>CONCATENATE("10.03.2014.",CHAR(10),"15.3.2014")</f>
        <v>10.03.2014.
15.3.2014</v>
      </c>
      <c r="H1525" s="1" t="str">
        <f>CONCATENATE("DIV D.O.O., SAMOBOR")</f>
        <v>DIV D.O.O., SAMOBOR</v>
      </c>
      <c r="I1525" s="2"/>
      <c r="J1525" s="1"/>
      <c r="K1525" s="2"/>
    </row>
    <row r="1526" spans="1:11" ht="47.25" x14ac:dyDescent="0.25">
      <c r="A1526" s="1" t="str">
        <f>"120/2014"</f>
        <v>120/2014</v>
      </c>
      <c r="B1526" s="1" t="s">
        <v>14</v>
      </c>
      <c r="C1526" s="1" t="s">
        <v>2704</v>
      </c>
      <c r="D1526" s="1" t="str">
        <f>CONCATENATE("2871-2013-EMV",CHAR(10),"2013/S 002-0102115 od 19.12.2013.")</f>
        <v>2871-2013-EMV
2013/S 002-0102115 od 19.12.2013.</v>
      </c>
      <c r="E1526" s="1" t="s">
        <v>15</v>
      </c>
      <c r="F1526" s="1" t="str">
        <f>"52.050,00"</f>
        <v>52.050,00</v>
      </c>
      <c r="G1526" s="1" t="str">
        <f>CONCATENATE("10.03.2014.",CHAR(10),"4 mjeseca")</f>
        <v>10.03.2014.
4 mjeseca</v>
      </c>
      <c r="H1526" s="1" t="str">
        <f>CONCATENATE("PROMPT D.O.O., ZAGREB")</f>
        <v>PROMPT D.O.O., ZAGREB</v>
      </c>
      <c r="I1526" s="1" t="s">
        <v>445</v>
      </c>
      <c r="J1526" s="1" t="str">
        <f>SUBSTITUTE(SUBSTITUTE(SUBSTITUTE("65,062.50",".","-"),",","."),"-",",")</f>
        <v>65.062,50</v>
      </c>
      <c r="K1526" s="2"/>
    </row>
    <row r="1527" spans="1:11" ht="47.25" x14ac:dyDescent="0.25">
      <c r="A1527" s="1" t="str">
        <f>"121/2014"</f>
        <v>121/2014</v>
      </c>
      <c r="B1527" s="1" t="s">
        <v>14</v>
      </c>
      <c r="C1527" s="1" t="s">
        <v>2705</v>
      </c>
      <c r="D1527" s="1" t="str">
        <f>CONCATENATE("496-2013-EMV",CHAR(10),"2013/S 002-0103131 od 23.12.2013.")</f>
        <v>496-2013-EMV
2013/S 002-0103131 od 23.12.2013.</v>
      </c>
      <c r="E1527" s="1" t="s">
        <v>15</v>
      </c>
      <c r="F1527" s="1" t="str">
        <f>"546.490,00"</f>
        <v>546.490,00</v>
      </c>
      <c r="G1527" s="1" t="str">
        <f>CONCATENATE("11.03.2014.",CHAR(10),"60 dana")</f>
        <v>11.03.2014.
60 dana</v>
      </c>
      <c r="H1527" s="1" t="str">
        <f>CONCATENATE("KONČAR - UGOSTITELJSKA OPREMA D.O.O., ZAGREB")</f>
        <v>KONČAR - UGOSTITELJSKA OPREMA D.O.O., ZAGREB</v>
      </c>
      <c r="I1527" s="1" t="s">
        <v>252</v>
      </c>
      <c r="J1527" s="1" t="str">
        <f>SUBSTITUTE(SUBSTITUTE(SUBSTITUTE("629,862.50",".","-"),",","."),"-",",")</f>
        <v>629.862,50</v>
      </c>
      <c r="K1527" s="2"/>
    </row>
    <row r="1528" spans="1:11" ht="47.25" x14ac:dyDescent="0.25">
      <c r="A1528" s="1" t="str">
        <f>"122/2014"</f>
        <v>122/2014</v>
      </c>
      <c r="B1528" s="1" t="s">
        <v>14</v>
      </c>
      <c r="C1528" s="1" t="s">
        <v>2706</v>
      </c>
      <c r="D1528" s="1" t="str">
        <f>CONCATENATE("524-2013-EMV",CHAR(10),"2013/S 002-0094160 od 15.11.2013.")</f>
        <v>524-2013-EMV
2013/S 002-0094160 od 15.11.2013.</v>
      </c>
      <c r="E1528" s="1" t="s">
        <v>15</v>
      </c>
      <c r="F1528" s="1" t="str">
        <f>"148.883,60"</f>
        <v>148.883,60</v>
      </c>
      <c r="G1528" s="1" t="str">
        <f>CONCATENATE("11.03.2014.",CHAR(10),"40 dana")</f>
        <v>11.03.2014.
40 dana</v>
      </c>
      <c r="H1528" s="1" t="str">
        <f>CONCATENATE("1. Zajednica ponuditelja: ",CHAR(10),"    RANUS D.O.O., ZAGREB",CHAR(10),"    C.I.A.K. D.O.O., ZAGREB")</f>
        <v>1. Zajednica ponuditelja: 
    RANUS D.O.O., ZAGREB
    C.I.A.K. D.O.O., ZAGREB</v>
      </c>
      <c r="I1528" s="1" t="s">
        <v>546</v>
      </c>
      <c r="J1528" s="1" t="str">
        <f>SUBSTITUTE(SUBSTITUTE(SUBSTITUTE("185,636.19",".","-"),",","."),"-",",")</f>
        <v>185.636,19</v>
      </c>
      <c r="K1528" s="2"/>
    </row>
    <row r="1529" spans="1:11" ht="63" x14ac:dyDescent="0.25">
      <c r="A1529" s="1" t="str">
        <f>"123/2014"</f>
        <v>123/2014</v>
      </c>
      <c r="B1529" s="1" t="s">
        <v>14</v>
      </c>
      <c r="C1529" s="1" t="s">
        <v>2707</v>
      </c>
      <c r="D1529" s="1" t="str">
        <f>CONCATENATE("2865-2013-EMV",CHAR(10),"2014/S 015-0007433 od 14.02.2014.")</f>
        <v>2865-2013-EMV
2014/S 015-0007433 od 14.02.2014.</v>
      </c>
      <c r="E1529" s="1" t="s">
        <v>12</v>
      </c>
      <c r="F1529" s="1" t="str">
        <f>"495.009,20"</f>
        <v>495.009,20</v>
      </c>
      <c r="G1529" s="1" t="str">
        <f>CONCATENATE("11.03.2014.",CHAR(10),"60 dana")</f>
        <v>11.03.2014.
60 dana</v>
      </c>
      <c r="H1529" s="1" t="str">
        <f>CONCATENATE("1. Zajednica ponuditelja: ",CHAR(10),"    HVAR D.O.O., SAMOBOR",CHAR(10),"    GEODIST D.O.O., ZAGREB")</f>
        <v>1. Zajednica ponuditelja: 
    HVAR D.O.O., SAMOBOR
    GEODIST D.O.O., ZAGREB</v>
      </c>
      <c r="I1529" s="2"/>
      <c r="J1529" s="1"/>
      <c r="K1529" s="2"/>
    </row>
    <row r="1530" spans="1:11" ht="47.25" x14ac:dyDescent="0.25">
      <c r="A1530" s="1" t="str">
        <f>"124/2014"</f>
        <v>124/2014</v>
      </c>
      <c r="B1530" s="1" t="s">
        <v>14</v>
      </c>
      <c r="C1530" s="1" t="s">
        <v>2708</v>
      </c>
      <c r="D1530" s="1" t="str">
        <f>CONCATENATE("1630-2013-EMV",CHAR(10),"2013/S 002-0091606 od 06.11.2013.")</f>
        <v>1630-2013-EMV
2013/S 002-0091606 od 06.11.2013.</v>
      </c>
      <c r="E1530" s="1" t="s">
        <v>15</v>
      </c>
      <c r="F1530" s="1" t="str">
        <f>"796.859,11"</f>
        <v>796.859,11</v>
      </c>
      <c r="G1530" s="1" t="str">
        <f>CONCATENATE("11.03.2014.",CHAR(10),"180 dana")</f>
        <v>11.03.2014.
180 dana</v>
      </c>
      <c r="H1530" s="1" t="str">
        <f>CONCATENATE("ELEKTROCENTAR PETEK D.O.O., IVANIĆ-GRAD")</f>
        <v>ELEKTROCENTAR PETEK D.O.O., IVANIĆ-GRAD</v>
      </c>
      <c r="I1530" s="2"/>
      <c r="J1530" s="1"/>
      <c r="K1530" s="2"/>
    </row>
    <row r="1531" spans="1:11" ht="47.25" x14ac:dyDescent="0.25">
      <c r="A1531" s="1" t="str">
        <f>"125/2014"</f>
        <v>125/2014</v>
      </c>
      <c r="B1531" s="1" t="s">
        <v>14</v>
      </c>
      <c r="C1531" s="1" t="s">
        <v>2709</v>
      </c>
      <c r="D1531" s="1" t="str">
        <f>CONCATENATE("1147-2013-EMV",CHAR(10),"2013/S 002-0031313 od 04.04.2013.")</f>
        <v>1147-2013-EMV
2013/S 002-0031313 od 04.04.2013.</v>
      </c>
      <c r="E1531" s="1" t="s">
        <v>15</v>
      </c>
      <c r="F1531" s="1" t="str">
        <f>"320.905,80"</f>
        <v>320.905,80</v>
      </c>
      <c r="G1531" s="1" t="str">
        <f>CONCATENATE("11.03.2014.",CHAR(10),"8 mjeseci")</f>
        <v>11.03.2014.
8 mjeseci</v>
      </c>
      <c r="H1531" s="1" t="str">
        <f>CONCATENATE("1. Zajednica ponuditelja: ",CHAR(10),"    TA-GRAD D.O.O., ZAGREB",CHAR(10),"    TERRACOTTA D.O.O., ZAGREB")</f>
        <v>1. Zajednica ponuditelja: 
    TA-GRAD D.O.O., ZAGREB
    TERRACOTTA D.O.O., ZAGREB</v>
      </c>
      <c r="I1531" s="2"/>
      <c r="J1531" s="1"/>
      <c r="K1531" s="2"/>
    </row>
    <row r="1532" spans="1:11" ht="47.25" x14ac:dyDescent="0.25">
      <c r="A1532" s="1" t="str">
        <f>"126/2014"</f>
        <v>126/2014</v>
      </c>
      <c r="B1532" s="1" t="s">
        <v>14</v>
      </c>
      <c r="C1532" s="1" t="s">
        <v>2710</v>
      </c>
      <c r="D1532" s="1" t="str">
        <f>CONCATENATE("2878-2013-EMV",CHAR(10),"2013/S 002-0103719 od 24.12.2013.")</f>
        <v>2878-2013-EMV
2013/S 002-0103719 od 24.12.2013.</v>
      </c>
      <c r="E1532" s="1" t="s">
        <v>15</v>
      </c>
      <c r="F1532" s="1" t="str">
        <f>"449.979,00"</f>
        <v>449.979,00</v>
      </c>
      <c r="G1532" s="1" t="str">
        <f>CONCATENATE("11.03.2014.",CHAR(10),"5 mjeseci")</f>
        <v>11.03.2014.
5 mjeseci</v>
      </c>
      <c r="H1532" s="1" t="str">
        <f>CONCATENATE("INTERKONZALTING D.O.O., ZAGREB")</f>
        <v>INTERKONZALTING D.O.O., ZAGREB</v>
      </c>
      <c r="I1532" s="1" t="s">
        <v>547</v>
      </c>
      <c r="J1532" s="1" t="str">
        <f>SUBSTITUTE(SUBSTITUTE(SUBSTITUTE("449,979.00",".","-"),",","."),"-",",")</f>
        <v>449.979,00</v>
      </c>
      <c r="K1532" s="2"/>
    </row>
    <row r="1533" spans="1:11" ht="63" x14ac:dyDescent="0.25">
      <c r="A1533" s="1" t="str">
        <f>"127/2014"</f>
        <v>127/2014</v>
      </c>
      <c r="B1533" s="1" t="s">
        <v>14</v>
      </c>
      <c r="C1533" s="1" t="s">
        <v>2711</v>
      </c>
      <c r="D1533" s="1" t="str">
        <f>CONCATENATE("2783-2013-EMV",CHAR(10),"2013/S 002-0084716 od 11.10.2013.")</f>
        <v>2783-2013-EMV
2013/S 002-0084716 od 11.10.2013.</v>
      </c>
      <c r="E1533" s="1" t="s">
        <v>15</v>
      </c>
      <c r="F1533" s="1" t="str">
        <f>"90.000,00"</f>
        <v>90.000,00</v>
      </c>
      <c r="G1533" s="1" t="str">
        <f>CONCATENATE("11.03.2014.",CHAR(10),"90 dana")</f>
        <v>11.03.2014.
90 dana</v>
      </c>
      <c r="H1533" s="1" t="str">
        <f>CONCATENATE("URBANISTIČKI ZAVOD GRADA ZAGREBA D.O.O., ZAGREB")</f>
        <v>URBANISTIČKI ZAVOD GRADA ZAGREBA D.O.O., ZAGREB</v>
      </c>
      <c r="I1533" s="2"/>
      <c r="J1533" s="1"/>
      <c r="K1533" s="2"/>
    </row>
    <row r="1534" spans="1:11" ht="63" x14ac:dyDescent="0.25">
      <c r="A1534" s="1" t="str">
        <f>"A-38/2014"</f>
        <v>A-38/2014</v>
      </c>
      <c r="B1534" s="1" t="s">
        <v>11</v>
      </c>
      <c r="C1534" s="1" t="s">
        <v>548</v>
      </c>
      <c r="D1534" s="1" t="str">
        <f>"235-2013-EVV"</f>
        <v>235-2013-EVV</v>
      </c>
      <c r="E1534" s="2"/>
      <c r="F1534" s="1" t="str">
        <f>"0,00"</f>
        <v>0,00</v>
      </c>
      <c r="G1534" s="1" t="str">
        <f>"11.03.2014."</f>
        <v>11.03.2014.</v>
      </c>
      <c r="H1534" s="1" t="str">
        <f>CONCATENATE("APIS IT D.O.O., ZAGREB")</f>
        <v>APIS IT D.O.O., ZAGREB</v>
      </c>
      <c r="I1534" s="2"/>
      <c r="J1534" s="1"/>
      <c r="K1534" s="2"/>
    </row>
    <row r="1535" spans="1:11" ht="47.25" x14ac:dyDescent="0.25">
      <c r="A1535" s="1" t="str">
        <f>"128/2014"</f>
        <v>128/2014</v>
      </c>
      <c r="B1535" s="1" t="s">
        <v>136</v>
      </c>
      <c r="C1535" s="1" t="s">
        <v>549</v>
      </c>
      <c r="D1535" s="1" t="str">
        <f>CONCATENATE("189-2013-EMV",CHAR(10),"2013/S 002-0101771 od 17.12.2013.")</f>
        <v>189-2013-EMV
2013/S 002-0101771 od 17.12.2013.</v>
      </c>
      <c r="E1535" s="1" t="s">
        <v>366</v>
      </c>
      <c r="F1535" s="1" t="str">
        <f>"567.715,00"</f>
        <v>567.715,00</v>
      </c>
      <c r="G1535" s="1" t="str">
        <f>CONCATENATE("11.03.2014.",CHAR(10),"2 godine")</f>
        <v>11.03.2014.
2 godine</v>
      </c>
      <c r="H1535" s="1" t="str">
        <f>CONCATENATE("GRADITELJ SVRATIŠTA D.O.O., ZAGREB")</f>
        <v>GRADITELJ SVRATIŠTA D.O.O., ZAGREB</v>
      </c>
      <c r="I1535" s="2"/>
      <c r="J1535" s="1"/>
      <c r="K1535" s="2"/>
    </row>
    <row r="1536" spans="1:11" ht="78.75" x14ac:dyDescent="0.25">
      <c r="A1536" s="1" t="str">
        <f>"129/2014"</f>
        <v>129/2014</v>
      </c>
      <c r="B1536" s="1" t="s">
        <v>14</v>
      </c>
      <c r="C1536" s="1" t="s">
        <v>2712</v>
      </c>
      <c r="D1536" s="1" t="str">
        <f>CONCATENATE("1251-2013-EMV",CHAR(10),"2013/S 002-0096526 od 25.11.2013.")</f>
        <v>1251-2013-EMV
2013/S 002-0096526 od 25.11.2013.</v>
      </c>
      <c r="E1536" s="1" t="s">
        <v>15</v>
      </c>
      <c r="F1536" s="1" t="str">
        <f>"165.300,00"</f>
        <v>165.300,00</v>
      </c>
      <c r="G1536" s="1" t="str">
        <f>CONCATENATE("12.03.2014.",CHAR(10),"12 mjeseci")</f>
        <v>12.03.2014.
12 mjeseci</v>
      </c>
      <c r="H1536" s="1" t="str">
        <f>CONCATENATE("1. Zajednica ponuditelja: ",CHAR(10),"    E.G.S.-ELEKTROGRADITELJSTVO D.O.O., ZAGREB",CHAR(10),"    USUS FRUCTUS D.O.O., ZAGREB-SUSEDGRAD")</f>
        <v>1. Zajednica ponuditelja: 
    E.G.S.-ELEKTROGRADITELJSTVO D.O.O., ZAGREB
    USUS FRUCTUS D.O.O., ZAGREB-SUSEDGRAD</v>
      </c>
      <c r="I1536" s="2"/>
      <c r="J1536" s="1"/>
      <c r="K1536" s="2"/>
    </row>
    <row r="1537" spans="1:11" ht="47.25" x14ac:dyDescent="0.25">
      <c r="A1537" s="1" t="str">
        <f>"130/2014"</f>
        <v>130/2014</v>
      </c>
      <c r="B1537" s="1" t="s">
        <v>136</v>
      </c>
      <c r="C1537" s="1" t="s">
        <v>550</v>
      </c>
      <c r="D1537" s="1" t="str">
        <f>CONCATENATE("189-2013-EMV",CHAR(10),"2013/S 002-0101771 od 17.12.2014.")</f>
        <v>189-2013-EMV
2013/S 002-0101771 od 17.12.2014.</v>
      </c>
      <c r="E1537" s="1" t="s">
        <v>366</v>
      </c>
      <c r="F1537" s="1" t="str">
        <f>"1.198.458,30"</f>
        <v>1.198.458,30</v>
      </c>
      <c r="G1537" s="1" t="str">
        <f>CONCATENATE("11.03.2014.",CHAR(10),"2 godine")</f>
        <v>11.03.2014.
2 godine</v>
      </c>
      <c r="H1537" s="1" t="str">
        <f>CONCATENATE("GRADITELJ SVRATIŠTA D.O.O., ZAGREB")</f>
        <v>GRADITELJ SVRATIŠTA D.O.O., ZAGREB</v>
      </c>
      <c r="I1537" s="2"/>
      <c r="J1537" s="1"/>
      <c r="K1537" s="2"/>
    </row>
    <row r="1538" spans="1:11" ht="63" x14ac:dyDescent="0.25">
      <c r="A1538" s="1" t="str">
        <f>"131/2014"</f>
        <v>131/2014</v>
      </c>
      <c r="B1538" s="1" t="s">
        <v>14</v>
      </c>
      <c r="C1538" s="1" t="s">
        <v>2713</v>
      </c>
      <c r="D1538" s="1" t="str">
        <f>CONCATENATE("1650-2013-EMV",CHAR(10),"2013/S 002-0086744 od 18.10.2013.")</f>
        <v>1650-2013-EMV
2013/S 002-0086744 od 18.10.2013.</v>
      </c>
      <c r="E1538" s="1" t="s">
        <v>15</v>
      </c>
      <c r="F1538" s="1" t="str">
        <f>"156.100,00"</f>
        <v>156.100,00</v>
      </c>
      <c r="G1538" s="1" t="str">
        <f>CONCATENATE("13.03.2014.",CHAR(10),"5 mjeseci od obostranog potpisa ugovora")</f>
        <v>13.03.2014.
5 mjeseci od obostranog potpisa ugovora</v>
      </c>
      <c r="H1538" s="1" t="str">
        <f>CONCATENATE("LJAMA STUDIO D.O.O., ZAGREB")</f>
        <v>LJAMA STUDIO D.O.O., ZAGREB</v>
      </c>
      <c r="I1538" s="1" t="s">
        <v>551</v>
      </c>
      <c r="J1538" s="1" t="str">
        <f>SUBSTITUTE(SUBSTITUTE(SUBSTITUTE("195,125.00",".","-"),",","."),"-",",")</f>
        <v>195.125,00</v>
      </c>
      <c r="K1538" s="2"/>
    </row>
    <row r="1539" spans="1:11" ht="47.25" x14ac:dyDescent="0.25">
      <c r="A1539" s="1" t="str">
        <f>"A-39/2014"</f>
        <v>A-39/2014</v>
      </c>
      <c r="B1539" s="1" t="s">
        <v>11</v>
      </c>
      <c r="C1539" s="1" t="s">
        <v>552</v>
      </c>
      <c r="D1539" s="1" t="str">
        <f>"508-2013-EMV"</f>
        <v>508-2013-EMV</v>
      </c>
      <c r="E1539" s="2"/>
      <c r="F1539" s="1" t="str">
        <f>"0,00"</f>
        <v>0,00</v>
      </c>
      <c r="G1539" s="1" t="str">
        <f>CONCATENATE("14.03.2014.",CHAR(10),"75 dana od dana uvođenja u posao")</f>
        <v>14.03.2014.
75 dana od dana uvođenja u posao</v>
      </c>
      <c r="H1539" s="1" t="str">
        <f>CONCATENATE("1. Zajednica ponuditelja: ",CHAR(10),"    FERROSTIL MONT D.O.O., ZAGREB",CHAR(10),"    IND-EKO D.O.O., RIJEKA")</f>
        <v>1. Zajednica ponuditelja: 
    FERROSTIL MONT D.O.O., ZAGREB
    IND-EKO D.O.O., RIJEKA</v>
      </c>
      <c r="I1539" s="2"/>
      <c r="J1539" s="1"/>
      <c r="K1539" s="2"/>
    </row>
    <row r="1540" spans="1:11" ht="47.25" x14ac:dyDescent="0.25">
      <c r="A1540" s="1" t="str">
        <f>"132/2014"</f>
        <v>132/2014</v>
      </c>
      <c r="B1540" s="1" t="s">
        <v>14</v>
      </c>
      <c r="C1540" s="1" t="s">
        <v>2714</v>
      </c>
      <c r="D1540" s="1" t="str">
        <f>CONCATENATE("208-2013-EMV",CHAR(10),"2013/S 002-0098810 od 03.12.2013.")</f>
        <v>208-2013-EMV
2013/S 002-0098810 od 03.12.2013.</v>
      </c>
      <c r="E1540" s="1" t="s">
        <v>15</v>
      </c>
      <c r="F1540" s="1" t="str">
        <f>"73.436,00"</f>
        <v>73.436,00</v>
      </c>
      <c r="G1540" s="1" t="str">
        <f>CONCATENATE("12.03.2014.",CHAR(10),"12 mjeseci")</f>
        <v>12.03.2014.
12 mjeseci</v>
      </c>
      <c r="H1540" s="1" t="str">
        <f>CONCATENATE("GRADITELJ SVRATIŠTA D.O.O., ZAGREB")</f>
        <v>GRADITELJ SVRATIŠTA D.O.O., ZAGREB</v>
      </c>
      <c r="I1540" s="2"/>
      <c r="J1540" s="1"/>
      <c r="K1540" s="2"/>
    </row>
    <row r="1541" spans="1:11" ht="63" x14ac:dyDescent="0.25">
      <c r="A1541" s="1" t="str">
        <f>"A-40/2014"</f>
        <v>A-40/2014</v>
      </c>
      <c r="B1541" s="1" t="s">
        <v>11</v>
      </c>
      <c r="C1541" s="1" t="s">
        <v>553</v>
      </c>
      <c r="D1541" s="1" t="str">
        <f>"1635-2013-EMV"</f>
        <v>1635-2013-EMV</v>
      </c>
      <c r="E1541" s="2"/>
      <c r="F1541" s="1" t="str">
        <f>"0,00"</f>
        <v>0,00</v>
      </c>
      <c r="G1541" s="1" t="str">
        <f>CONCATENATE("14.03.2014.",CHAR(10),"9 mjeseci računajući od dana potpisa osnovnog ugovora")</f>
        <v>14.03.2014.
9 mjeseci računajući od dana potpisa osnovnog ugovora</v>
      </c>
      <c r="H1541" s="1" t="str">
        <f>CONCATENATE("1. Zajednica ponuditelja: ",CHAR(10),"    HELB D.O.O., DUGO SELO",CHAR(10),"    LAMBOT D.O.O., ZAGREB",CHAR(10),"    EKONERG D.O.O., ZAGREB")</f>
        <v>1. Zajednica ponuditelja: 
    HELB D.O.O., DUGO SELO
    LAMBOT D.O.O., ZAGREB
    EKONERG D.O.O., ZAGREB</v>
      </c>
      <c r="I1541" s="2"/>
      <c r="J1541" s="1"/>
      <c r="K1541" s="2"/>
    </row>
    <row r="1542" spans="1:11" ht="78.75" x14ac:dyDescent="0.25">
      <c r="A1542" s="1" t="str">
        <f>"A-41/2014"</f>
        <v>A-41/2014</v>
      </c>
      <c r="B1542" s="1" t="s">
        <v>11</v>
      </c>
      <c r="C1542" s="1" t="s">
        <v>554</v>
      </c>
      <c r="D1542" s="1" t="str">
        <f>"519-2013-EMV"</f>
        <v>519-2013-EMV</v>
      </c>
      <c r="E1542" s="2"/>
      <c r="F1542" s="1" t="str">
        <f>"0,00"</f>
        <v>0,00</v>
      </c>
      <c r="G1542" s="1" t="str">
        <f>CONCATENATE("14.03.2014.",CHAR(10),"rok iz osnovnog ugovora se mijenja u: 75 dana, odnosno do završetka građevinsko obrtničkih radova")</f>
        <v>14.03.2014.
rok iz osnovnog ugovora se mijenja u: 75 dana, odnosno do završetka građevinsko obrtničkih radova</v>
      </c>
      <c r="H1542" s="1" t="str">
        <f>CONCATENATE("PERUČA D.O.O., OSIJEK")</f>
        <v>PERUČA D.O.O., OSIJEK</v>
      </c>
      <c r="I1542" s="2"/>
      <c r="J1542" s="1"/>
      <c r="K1542" s="2"/>
    </row>
    <row r="1543" spans="1:11" ht="47.25" x14ac:dyDescent="0.25">
      <c r="A1543" s="1" t="str">
        <f>"133/2014"</f>
        <v>133/2014</v>
      </c>
      <c r="B1543" s="1" t="s">
        <v>14</v>
      </c>
      <c r="C1543" s="1" t="s">
        <v>2715</v>
      </c>
      <c r="D1543" s="1" t="str">
        <f>CONCATENATE("510-2013-EMV",CHAR(10),"2013/S 002-0098831 od 03.12.2013.")</f>
        <v>510-2013-EMV
2013/S 002-0098831 od 03.12.2013.</v>
      </c>
      <c r="E1543" s="1" t="s">
        <v>15</v>
      </c>
      <c r="F1543" s="1" t="str">
        <f>"69.800,00"</f>
        <v>69.800,00</v>
      </c>
      <c r="G1543" s="1" t="str">
        <f>CONCATENATE("14.03.2014.",CHAR(10),"120 dana")</f>
        <v>14.03.2014.
120 dana</v>
      </c>
      <c r="H1543" s="1" t="str">
        <f>CONCATENATE("CONNECTO PROJEKT D.O.O., VARAŽDIN")</f>
        <v>CONNECTO PROJEKT D.O.O., VARAŽDIN</v>
      </c>
      <c r="I1543" s="2"/>
      <c r="J1543" s="1"/>
      <c r="K1543" s="2"/>
    </row>
    <row r="1544" spans="1:11" ht="94.5" x14ac:dyDescent="0.25">
      <c r="A1544" s="1" t="str">
        <f>"134/2014"</f>
        <v>134/2014</v>
      </c>
      <c r="B1544" s="1" t="s">
        <v>136</v>
      </c>
      <c r="C1544" s="1" t="s">
        <v>1986</v>
      </c>
      <c r="D1544" s="1" t="str">
        <f>CONCATENATE("195-2013-EMV",CHAR(10),"2013/S 002-0095622 od 20.11.2013 i ispravak objave broj 2013/ 014-0099392 od 5.12.2013 od 20.11.2013.")</f>
        <v>195-2013-EMV
2013/S 002-0095622 od 20.11.2013 i ispravak objave broj 2013/ 014-0099392 od 5.12.2013 od 20.11.2013.</v>
      </c>
      <c r="E1544" s="1" t="s">
        <v>366</v>
      </c>
      <c r="F1544" s="1" t="str">
        <f>"865.569,10"</f>
        <v>865.569,10</v>
      </c>
      <c r="G1544" s="1" t="str">
        <f>CONCATENATE("17.03.2014.",CHAR(10),"2 godine")</f>
        <v>17.03.2014.
2 godine</v>
      </c>
      <c r="H1544" s="1" t="str">
        <f>CONCATENATE("1. Zajednica ponuditelja: ",CHAR(10),"    ENERGETIKA-SERVIS D.O.O., ZAGREB",CHAR(10),"    STP - VL. DUBRAVKO AHEL I SLAVKO ŠPOLJAR, ZAGREB-NOVI ZAGREB")</f>
        <v>1. Zajednica ponuditelja: 
    ENERGETIKA-SERVIS D.O.O., ZAGREB
    STP - VL. DUBRAVKO AHEL I SLAVKO ŠPOLJAR, ZAGREB-NOVI ZAGREB</v>
      </c>
      <c r="I1544" s="2"/>
      <c r="J1544" s="1"/>
      <c r="K1544" s="2"/>
    </row>
    <row r="1545" spans="1:11" ht="78.75" x14ac:dyDescent="0.25">
      <c r="A1545" s="1" t="str">
        <f>"135/2014"</f>
        <v>135/2014</v>
      </c>
      <c r="B1545" s="1" t="s">
        <v>14</v>
      </c>
      <c r="C1545" s="1" t="s">
        <v>2716</v>
      </c>
      <c r="D1545" s="1" t="str">
        <f>CONCATENATE("3228-2013-EBV",CHAR(10),"2014/S 015-0010454 od 03.03.2014.")</f>
        <v>3228-2013-EBV
2014/S 015-0010454 od 03.03.2014.</v>
      </c>
      <c r="E1545" s="1" t="s">
        <v>12</v>
      </c>
      <c r="F1545" s="1" t="str">
        <f>"47.667,29"</f>
        <v>47.667,29</v>
      </c>
      <c r="G1545" s="1" t="str">
        <f>CONCATENATE("14.03.2014.",CHAR(10),"10 dana od dana uvođenja u posao")</f>
        <v>14.03.2014.
10 dana od dana uvođenja u posao</v>
      </c>
      <c r="H1545" s="1" t="str">
        <f>CONCATENATE("1. Zajednica ponuditelja: ",CHAR(10),"    PRIGORAC-GRAĐENJE D.O.O., SESVETE",CHAR(10),"    MGV D.O.O., ZAGREB",CHAR(10),"    ELICOM D.O.O., ZAGREB")</f>
        <v>1. Zajednica ponuditelja: 
    PRIGORAC-GRAĐENJE D.O.O., SESVETE
    MGV D.O.O., ZAGREB
    ELICOM D.O.O., ZAGREB</v>
      </c>
      <c r="I1545" s="1" t="s">
        <v>555</v>
      </c>
      <c r="J1545" s="1" t="str">
        <f>SUBSTITUTE(SUBSTITUTE(SUBSTITUTE("59,584.11",".","-"),",","."),"-",",")</f>
        <v>59.584,11</v>
      </c>
      <c r="K1545" s="2"/>
    </row>
    <row r="1546" spans="1:11" ht="63" x14ac:dyDescent="0.25">
      <c r="A1546" s="1" t="str">
        <f>"A-42/2014"</f>
        <v>A-42/2014</v>
      </c>
      <c r="B1546" s="1" t="s">
        <v>11</v>
      </c>
      <c r="C1546" s="1" t="s">
        <v>556</v>
      </c>
      <c r="D1546" s="1" t="str">
        <f>"1665-2013-EMV"</f>
        <v>1665-2013-EMV</v>
      </c>
      <c r="E1546" s="2"/>
      <c r="F1546" s="1" t="str">
        <f>"0,00"</f>
        <v>0,00</v>
      </c>
      <c r="G1546" s="1" t="str">
        <f>CONCATENATE("17.03.2014.",CHAR(10),"do 15.5.2014")</f>
        <v>17.03.2014.
do 15.5.2014</v>
      </c>
      <c r="H1546" s="1" t="str">
        <f>CONCATENATE("SWIETELSKY D.O.O., ZAGREB")</f>
        <v>SWIETELSKY D.O.O., ZAGREB</v>
      </c>
      <c r="I1546" s="2"/>
      <c r="J1546" s="1"/>
      <c r="K1546" s="2"/>
    </row>
    <row r="1547" spans="1:11" ht="63" x14ac:dyDescent="0.25">
      <c r="A1547" s="1" t="str">
        <f>"A-43/2014"</f>
        <v>A-43/2014</v>
      </c>
      <c r="B1547" s="1" t="s">
        <v>11</v>
      </c>
      <c r="C1547" s="1" t="s">
        <v>557</v>
      </c>
      <c r="D1547" s="1" t="str">
        <f>"742-2012-EMV"</f>
        <v>742-2012-EMV</v>
      </c>
      <c r="E1547" s="2"/>
      <c r="F1547" s="1" t="str">
        <f>"0,00"</f>
        <v>0,00</v>
      </c>
      <c r="G1547" s="1" t="str">
        <f>CONCATENATE("17.03.2014.",CHAR(10),"do 16.5.2014")</f>
        <v>17.03.2014.
do 16.5.2014</v>
      </c>
      <c r="H1547" s="1" t="str">
        <f>CONCATENATE("1. Zajednica ponuditelja: ",CHAR(10),"    TA-GRAD D.O.O., ZAGREB",CHAR(10),"    AKADEMSKI KIPAR IVAN BRISKI, ZAGREB")</f>
        <v>1. Zajednica ponuditelja: 
    TA-GRAD D.O.O., ZAGREB
    AKADEMSKI KIPAR IVAN BRISKI, ZAGREB</v>
      </c>
      <c r="I1547" s="2"/>
      <c r="J1547" s="1"/>
      <c r="K1547" s="2"/>
    </row>
    <row r="1548" spans="1:11" ht="47.25" x14ac:dyDescent="0.25">
      <c r="A1548" s="1" t="str">
        <f>"136/2014"</f>
        <v>136/2014</v>
      </c>
      <c r="B1548" s="1" t="s">
        <v>14</v>
      </c>
      <c r="C1548" s="1" t="s">
        <v>2717</v>
      </c>
      <c r="D1548" s="1" t="str">
        <f>CONCATENATE("2876-2013-EMV",CHAR(10),"2013/S 002-0102295 od 19.12.2013.")</f>
        <v>2876-2013-EMV
2013/S 002-0102295 od 19.12.2013.</v>
      </c>
      <c r="E1548" s="1" t="s">
        <v>15</v>
      </c>
      <c r="F1548" s="1" t="str">
        <f>"111.787,00"</f>
        <v>111.787,00</v>
      </c>
      <c r="G1548" s="1" t="str">
        <f>CONCATENATE("18.03.2014.",CHAR(10),"3 mjeseca")</f>
        <v>18.03.2014.
3 mjeseca</v>
      </c>
      <c r="H1548" s="1" t="str">
        <f>CONCATENATE("DIDACTA D.O.O., SLAVONSKI BROD")</f>
        <v>DIDACTA D.O.O., SLAVONSKI BROD</v>
      </c>
      <c r="I1548" s="1" t="s">
        <v>393</v>
      </c>
      <c r="J1548" s="1" t="str">
        <f>SUBSTITUTE(SUBSTITUTE(SUBSTITUTE("139,733.75",".","-"),",","."),"-",",")</f>
        <v>139.733,75</v>
      </c>
      <c r="K1548" s="2"/>
    </row>
    <row r="1549" spans="1:11" ht="47.25" x14ac:dyDescent="0.25">
      <c r="A1549" s="1" t="str">
        <f>"137/2014"</f>
        <v>137/2014</v>
      </c>
      <c r="B1549" s="1" t="s">
        <v>14</v>
      </c>
      <c r="C1549" s="1" t="s">
        <v>2718</v>
      </c>
      <c r="D1549" s="1" t="str">
        <f>CONCATENATE("2853-2013-EMV",CHAR(10),"2013/S 002-0090148 od 30.10.2013.")</f>
        <v>2853-2013-EMV
2013/S 002-0090148 od 30.10.2013.</v>
      </c>
      <c r="E1549" s="1" t="s">
        <v>15</v>
      </c>
      <c r="F1549" s="1" t="str">
        <f>"3.519.335,00"</f>
        <v>3.519.335,00</v>
      </c>
      <c r="G1549" s="1" t="str">
        <f>CONCATENATE("17.03.2014.",CHAR(10),"100 radnih dana od dana uvođenja u posao")</f>
        <v>17.03.2014.
100 radnih dana od dana uvođenja u posao</v>
      </c>
      <c r="H1549" s="1" t="str">
        <f>CONCATENATE("WERKOS D.O.O., OSIJEK")</f>
        <v>WERKOS D.O.O., OSIJEK</v>
      </c>
      <c r="I1549" s="2"/>
      <c r="J1549" s="1"/>
      <c r="K1549" s="2"/>
    </row>
    <row r="1550" spans="1:11" ht="78.75" x14ac:dyDescent="0.25">
      <c r="A1550" s="1" t="str">
        <f>"138/2014"</f>
        <v>138/2014</v>
      </c>
      <c r="B1550" s="1" t="s">
        <v>14</v>
      </c>
      <c r="C1550" s="1" t="s">
        <v>2719</v>
      </c>
      <c r="D1550" s="1" t="str">
        <f>CONCATENATE("1325-2013-EMV",CHAR(10),"2014/S 002-0000076 od 3.1.2014; ispravak objave 2014/S 014-0001678 15.1.2014 od 15.01.2014.")</f>
        <v>1325-2013-EMV
2014/S 002-0000076 od 3.1.2014; ispravak objave 2014/S 014-0001678 15.1.2014 od 15.01.2014.</v>
      </c>
      <c r="E1550" s="1" t="s">
        <v>15</v>
      </c>
      <c r="F1550" s="1" t="str">
        <f>"3.859.379,10"</f>
        <v>3.859.379,10</v>
      </c>
      <c r="G1550" s="1" t="str">
        <f>CONCATENATE("18.03.2014.",CHAR(10),"70 dana od dana uvođenja u posao")</f>
        <v>18.03.2014.
70 dana od dana uvođenja u posao</v>
      </c>
      <c r="H1550" s="1" t="str">
        <f>CONCATENATE("HVAR D.O.O., SAMOBOR")</f>
        <v>HVAR D.O.O., SAMOBOR</v>
      </c>
      <c r="I1550" s="2"/>
      <c r="J1550" s="1"/>
      <c r="K1550" s="2"/>
    </row>
    <row r="1551" spans="1:11" ht="47.25" x14ac:dyDescent="0.25">
      <c r="A1551" s="1" t="str">
        <f>"139/2014"</f>
        <v>139/2014</v>
      </c>
      <c r="B1551" s="1" t="s">
        <v>14</v>
      </c>
      <c r="C1551" s="1" t="s">
        <v>2720</v>
      </c>
      <c r="D1551" s="1" t="str">
        <f>CONCATENATE("2769-2013-EMV",CHAR(10),"2013/S 002-0085865 od 16.10.2013.")</f>
        <v>2769-2013-EMV
2013/S 002-0085865 od 16.10.2013.</v>
      </c>
      <c r="E1551" s="1" t="s">
        <v>15</v>
      </c>
      <c r="F1551" s="1" t="str">
        <f>"116.300,00"</f>
        <v>116.300,00</v>
      </c>
      <c r="G1551" s="1" t="str">
        <f>CONCATENATE("17.03.2014.",CHAR(10),"70 dana")</f>
        <v>17.03.2014.
70 dana</v>
      </c>
      <c r="H1551" s="1" t="str">
        <f>CONCATENATE("INSTITUT IGH D.D., ZAGREB")</f>
        <v>INSTITUT IGH D.D., ZAGREB</v>
      </c>
      <c r="I1551" s="1" t="s">
        <v>199</v>
      </c>
      <c r="J1551" s="1" t="str">
        <f>SUBSTITUTE(SUBSTITUTE(SUBSTITUTE("145,375.00",".","-"),",","."),"-",",")</f>
        <v>145.375,00</v>
      </c>
      <c r="K1551" s="2"/>
    </row>
    <row r="1552" spans="1:11" ht="63" x14ac:dyDescent="0.25">
      <c r="A1552" s="1" t="str">
        <f>"R-3/2014"</f>
        <v>R-3/2014</v>
      </c>
      <c r="B1552" s="1" t="s">
        <v>56</v>
      </c>
      <c r="C1552" s="1" t="s">
        <v>2721</v>
      </c>
      <c r="D1552" s="2"/>
      <c r="E1552" s="2"/>
      <c r="F1552" s="1" t="str">
        <f>"0,00"</f>
        <v>0,00</v>
      </c>
      <c r="G1552" s="1" t="str">
        <f>"17.03.2014."</f>
        <v>17.03.2014.</v>
      </c>
      <c r="H1552" s="1" t="str">
        <f>CONCATENATE("STUDIO ARHING D.O.O., ZAGREB")</f>
        <v>STUDIO ARHING D.O.O., ZAGREB</v>
      </c>
      <c r="I1552" s="2"/>
      <c r="J1552" s="1"/>
      <c r="K1552" s="2"/>
    </row>
    <row r="1553" spans="1:11" ht="31.5" x14ac:dyDescent="0.25">
      <c r="A1553" s="1" t="str">
        <f>"A-44/2014"</f>
        <v>A-44/2014</v>
      </c>
      <c r="B1553" s="1" t="s">
        <v>11</v>
      </c>
      <c r="C1553" s="1" t="s">
        <v>558</v>
      </c>
      <c r="D1553" s="1" t="str">
        <f>"2068-2012-EMV"</f>
        <v>2068-2012-EMV</v>
      </c>
      <c r="E1553" s="2"/>
      <c r="F1553" s="1" t="str">
        <f>"0,00"</f>
        <v>0,00</v>
      </c>
      <c r="G1553" s="1" t="str">
        <f>CONCATENATE("19.03.2014.",CHAR(10),"1.9.2014")</f>
        <v>19.03.2014.
1.9.2014</v>
      </c>
      <c r="H1553" s="1" t="str">
        <f>CONCATENATE("TELEKTRA D.O.O., SESVETE")</f>
        <v>TELEKTRA D.O.O., SESVETE</v>
      </c>
      <c r="I1553" s="2"/>
      <c r="J1553" s="1"/>
      <c r="K1553" s="2"/>
    </row>
    <row r="1554" spans="1:11" ht="78.75" x14ac:dyDescent="0.25">
      <c r="A1554" s="1" t="str">
        <f>"A-45/2014"</f>
        <v>A-45/2014</v>
      </c>
      <c r="B1554" s="1" t="s">
        <v>11</v>
      </c>
      <c r="C1554" s="1" t="s">
        <v>559</v>
      </c>
      <c r="D1554" s="1" t="str">
        <f>"1105-2012-EMV"</f>
        <v>1105-2012-EMV</v>
      </c>
      <c r="E1554" s="2"/>
      <c r="F1554" s="1" t="str">
        <f>"0,00"</f>
        <v>0,00</v>
      </c>
      <c r="G1554" s="1" t="str">
        <f>CONCATENATE("20.03.2014.",CHAR(10),"produžuje se za 120 dana")</f>
        <v>20.03.2014.
produžuje se za 120 dana</v>
      </c>
      <c r="H1554" s="1" t="str">
        <f>CONCATENATE("1. Zajednica ponuditelja: ",CHAR(10),"    BRODARSKI INSTITUT D.O.O., ZAGREB-NOVI ZAGREB",CHAR(10),"    3K D.O.O., ZAGREB")</f>
        <v>1. Zajednica ponuditelja: 
    BRODARSKI INSTITUT D.O.O., ZAGREB-NOVI ZAGREB
    3K D.O.O., ZAGREB</v>
      </c>
      <c r="I1554" s="2"/>
      <c r="J1554" s="1"/>
      <c r="K1554" s="2"/>
    </row>
    <row r="1555" spans="1:11" ht="78.75" x14ac:dyDescent="0.25">
      <c r="A1555" s="1" t="str">
        <f>"140/2014"</f>
        <v>140/2014</v>
      </c>
      <c r="B1555" s="1" t="s">
        <v>14</v>
      </c>
      <c r="C1555" s="1" t="s">
        <v>2722</v>
      </c>
      <c r="D1555" s="1" t="str">
        <f>CONCATENATE("749-2012-EMV",CHAR(10),"2012/S 002-0012848 od 20.04.2012.")</f>
        <v>749-2012-EMV
2012/S 002-0012848 od 20.04.2012.</v>
      </c>
      <c r="E1555" s="1" t="s">
        <v>15</v>
      </c>
      <c r="F1555" s="1" t="str">
        <f>"1.627.092,00"</f>
        <v>1.627.092,00</v>
      </c>
      <c r="G1555" s="1" t="str">
        <f>CONCATENATE("20.03.2014.",CHAR(10),"10 mjeseci od dana uvođenja u posao")</f>
        <v>20.03.2014.
10 mjeseci od dana uvođenja u posao</v>
      </c>
      <c r="H1555" s="1" t="str">
        <f>CONCATENATE("1. Zajednica ponuditelja: ",CHAR(10),"    GRADNJAPROJEKT- ZAGREB D.O.O., ZAGREB",CHAR(10),"    LJEVAONICA UMJETNINA ALU D.O.O., ZAGREB")</f>
        <v>1. Zajednica ponuditelja: 
    GRADNJAPROJEKT- ZAGREB D.O.O., ZAGREB
    LJEVAONICA UMJETNINA ALU D.O.O., ZAGREB</v>
      </c>
      <c r="I1555" s="2"/>
      <c r="J1555" s="1"/>
      <c r="K1555" s="2"/>
    </row>
    <row r="1556" spans="1:11" ht="47.25" x14ac:dyDescent="0.25">
      <c r="A1556" s="1" t="str">
        <f>"141/2014"</f>
        <v>141/2014</v>
      </c>
      <c r="B1556" s="1" t="s">
        <v>14</v>
      </c>
      <c r="C1556" s="1" t="s">
        <v>2723</v>
      </c>
      <c r="D1556" s="1" t="str">
        <f>CONCATENATE("1229-2013-EMV",CHAR(10),"2013/S 002-0099247 od 04.12.2013.")</f>
        <v>1229-2013-EMV
2013/S 002-0099247 od 04.12.2013.</v>
      </c>
      <c r="E1556" s="1" t="s">
        <v>15</v>
      </c>
      <c r="F1556" s="1" t="str">
        <f>"177.414,43"</f>
        <v>177.414,43</v>
      </c>
      <c r="G1556" s="1" t="str">
        <f>CONCATENATE("20.03.2014.",CHAR(10),"30 dana od dana uvođenja u posao")</f>
        <v>20.03.2014.
30 dana od dana uvođenja u posao</v>
      </c>
      <c r="H1556" s="1" t="str">
        <f>CONCATENATE("ELICOM D.O.O., ZAGREB")</f>
        <v>ELICOM D.O.O., ZAGREB</v>
      </c>
      <c r="I1556" s="1" t="s">
        <v>246</v>
      </c>
      <c r="J1556" s="1" t="str">
        <f>SUBSTITUTE(SUBSTITUTE(SUBSTITUTE("220,042.41",".","-"),",","."),"-",",")</f>
        <v>220.042,41</v>
      </c>
      <c r="K1556" s="2"/>
    </row>
    <row r="1557" spans="1:11" ht="63" x14ac:dyDescent="0.25">
      <c r="A1557" s="1" t="str">
        <f>"142/2014"</f>
        <v>142/2014</v>
      </c>
      <c r="B1557" s="1" t="s">
        <v>14</v>
      </c>
      <c r="C1557" s="1" t="s">
        <v>2724</v>
      </c>
      <c r="D1557" s="1" t="str">
        <f>CONCATENATE("1312-2013-EMV",CHAR(10),"2013/S 002-0094995 od 19.11.2013.")</f>
        <v>1312-2013-EMV
2013/S 002-0094995 od 19.11.2013.</v>
      </c>
      <c r="E1557" s="1" t="s">
        <v>15</v>
      </c>
      <c r="F1557" s="1" t="str">
        <f>"23.880,00"</f>
        <v>23.880,00</v>
      </c>
      <c r="G1557" s="1" t="str">
        <f>CONCATENATE("20.03.2014.",CHAR(10),"12 mjeseci")</f>
        <v>20.03.2014.
12 mjeseci</v>
      </c>
      <c r="H1557" s="1" t="str">
        <f>CONCATENATE("BOMAT-PROJEKT D.O.O., ZAGREB")</f>
        <v>BOMAT-PROJEKT D.O.O., ZAGREB</v>
      </c>
      <c r="I1557" s="2"/>
      <c r="J1557" s="1"/>
      <c r="K1557" s="2"/>
    </row>
    <row r="1558" spans="1:11" ht="47.25" x14ac:dyDescent="0.25">
      <c r="A1558" s="1" t="str">
        <f>"143/2014"</f>
        <v>143/2014</v>
      </c>
      <c r="B1558" s="1" t="s">
        <v>14</v>
      </c>
      <c r="C1558" s="1" t="s">
        <v>1939</v>
      </c>
      <c r="D1558" s="1" t="str">
        <f>CONCATENATE("1423-2013-EMV",CHAR(10),"2013/S 002-0097488 od 28.11.2013.")</f>
        <v>1423-2013-EMV
2013/S 002-0097488 od 28.11.2013.</v>
      </c>
      <c r="E1558" s="1" t="s">
        <v>15</v>
      </c>
      <c r="F1558" s="1" t="str">
        <f>"511.101,58"</f>
        <v>511.101,58</v>
      </c>
      <c r="G1558" s="1" t="str">
        <f>CONCATENATE("20.03.2014.",CHAR(10),"12 mjeseci")</f>
        <v>20.03.2014.
12 mjeseci</v>
      </c>
      <c r="H1558" s="1" t="str">
        <f>CONCATENATE("KOM-EKO D.O.O., ZAGREB")</f>
        <v>KOM-EKO D.O.O., ZAGREB</v>
      </c>
      <c r="I1558" s="2"/>
      <c r="J1558" s="1"/>
      <c r="K1558" s="2"/>
    </row>
    <row r="1559" spans="1:11" ht="78.75" x14ac:dyDescent="0.25">
      <c r="A1559" s="1" t="str">
        <f>"144/2014"</f>
        <v>144/2014</v>
      </c>
      <c r="B1559" s="1" t="s">
        <v>14</v>
      </c>
      <c r="C1559" s="1" t="s">
        <v>2725</v>
      </c>
      <c r="D1559" s="1" t="str">
        <f>CONCATENATE("511-2013-EMV",CHAR(10),"2013/S 002-0101454 od 16.12.2013.; ispravak 2013/S 014-0105039 od 31.12.2013.")</f>
        <v>511-2013-EMV
2013/S 002-0101454 od 16.12.2013.; ispravak 2013/S 014-0105039 od 31.12.2013.</v>
      </c>
      <c r="E1559" s="1" t="s">
        <v>15</v>
      </c>
      <c r="F1559" s="1" t="str">
        <f>"187.000,00"</f>
        <v>187.000,00</v>
      </c>
      <c r="G1559" s="1" t="str">
        <f>CONCATENATE("20.03.2014.",CHAR(10),"150 dana od obostranog potpisa ugovora")</f>
        <v>20.03.2014.
150 dana od obostranog potpisa ugovora</v>
      </c>
      <c r="H1559" s="1" t="str">
        <f>CONCATENATE("STUDIO ARHING D.O.O., ZAGREB")</f>
        <v>STUDIO ARHING D.O.O., ZAGREB</v>
      </c>
      <c r="I1559" s="2"/>
      <c r="J1559" s="1"/>
      <c r="K1559" s="2"/>
    </row>
    <row r="1560" spans="1:11" ht="63" x14ac:dyDescent="0.25">
      <c r="A1560" s="1" t="str">
        <f>"145/2014"</f>
        <v>145/2014</v>
      </c>
      <c r="B1560" s="1" t="s">
        <v>14</v>
      </c>
      <c r="C1560" s="1" t="s">
        <v>2726</v>
      </c>
      <c r="D1560" s="1" t="str">
        <f>CONCATENATE("1312-2013-EMV",CHAR(10),"2013/S 002-0094995 od 19.11.2013.")</f>
        <v>1312-2013-EMV
2013/S 002-0094995 od 19.11.2013.</v>
      </c>
      <c r="E1560" s="1" t="s">
        <v>15</v>
      </c>
      <c r="F1560" s="1" t="str">
        <f>"27.000,00"</f>
        <v>27.000,00</v>
      </c>
      <c r="G1560" s="1" t="str">
        <f>CONCATENATE("24.03.2014.",CHAR(10),"12 mjeseci")</f>
        <v>24.03.2014.
12 mjeseci</v>
      </c>
      <c r="H1560" s="1" t="str">
        <f>CONCATENATE("INOCON D.O.O., ZAGREB")</f>
        <v>INOCON D.O.O., ZAGREB</v>
      </c>
      <c r="I1560" s="2"/>
      <c r="J1560" s="1"/>
      <c r="K1560" s="2"/>
    </row>
    <row r="1561" spans="1:11" ht="47.25" x14ac:dyDescent="0.25">
      <c r="A1561" s="1" t="str">
        <f>"146/2014"</f>
        <v>146/2014</v>
      </c>
      <c r="B1561" s="1" t="s">
        <v>14</v>
      </c>
      <c r="C1561" s="1" t="s">
        <v>2727</v>
      </c>
      <c r="D1561" s="1" t="str">
        <f>CONCATENATE("2877-2013-EMV",CHAR(10),"2013/S 002-0103792 od 27.12.2013.")</f>
        <v>2877-2013-EMV
2013/S 002-0103792 od 27.12.2013.</v>
      </c>
      <c r="E1561" s="1" t="s">
        <v>15</v>
      </c>
      <c r="F1561" s="1" t="str">
        <f>"573.370,00"</f>
        <v>573.370,00</v>
      </c>
      <c r="G1561" s="1" t="str">
        <f>CONCATENATE("24.03.2014.",CHAR(10),"90 dana računajući od dana uvođenja u posao")</f>
        <v>24.03.2014.
90 dana računajući od dana uvođenja u posao</v>
      </c>
      <c r="H1561" s="1" t="str">
        <f>CONCATENATE("GEORAD D.O.O., ZAGREB")</f>
        <v>GEORAD D.O.O., ZAGREB</v>
      </c>
      <c r="I1561" s="2"/>
      <c r="J1561" s="1"/>
      <c r="K1561" s="2"/>
    </row>
    <row r="1562" spans="1:11" ht="47.25" x14ac:dyDescent="0.25">
      <c r="A1562" s="1" t="str">
        <f>"147/2014"</f>
        <v>147/2014</v>
      </c>
      <c r="B1562" s="1" t="s">
        <v>26</v>
      </c>
      <c r="C1562" s="1" t="s">
        <v>2728</v>
      </c>
      <c r="D1562" s="1" t="str">
        <f>"193-2013-EMV"</f>
        <v>193-2013-EMV</v>
      </c>
      <c r="E1562" s="2"/>
      <c r="F1562" s="1" t="str">
        <f>"220.000,00"</f>
        <v>220.000,00</v>
      </c>
      <c r="G1562" s="1" t="str">
        <f>CONCATENATE("24.03.2014.",CHAR(10),"12 mjeseci od obostranog potpisa ugovora")</f>
        <v>24.03.2014.
12 mjeseci od obostranog potpisa ugovora</v>
      </c>
      <c r="H1562" s="1" t="str">
        <f>CONCATENATE("ENEL ATM D.O.O., ZAGREB")</f>
        <v>ENEL ATM D.O.O., ZAGREB</v>
      </c>
      <c r="I1562" s="2"/>
      <c r="J1562" s="1"/>
      <c r="K1562" s="2"/>
    </row>
    <row r="1563" spans="1:11" ht="78.75" x14ac:dyDescent="0.25">
      <c r="A1563" s="1" t="str">
        <f>"148/2014"</f>
        <v>148/2014</v>
      </c>
      <c r="B1563" s="1" t="s">
        <v>136</v>
      </c>
      <c r="C1563" s="1" t="s">
        <v>2729</v>
      </c>
      <c r="D1563" s="1" t="str">
        <f>CONCATENATE("188-2013-EVV",CHAR(10),"2013/S 002-0095661 od 20.11.2013. ; ispravak objave 2013/S 014-0099270 od 04.12.2014.")</f>
        <v>188-2013-EVV
2013/S 002-0095661 od 20.11.2013. ; ispravak objave 2013/S 014-0099270 od 04.12.2014.</v>
      </c>
      <c r="E1563" s="1" t="s">
        <v>366</v>
      </c>
      <c r="F1563" s="1" t="str">
        <f>"1.864.488,26"</f>
        <v>1.864.488,26</v>
      </c>
      <c r="G1563" s="1" t="str">
        <f>CONCATENATE("24.03.2014.",CHAR(10),"2 godine")</f>
        <v>24.03.2014.
2 godine</v>
      </c>
      <c r="H1563" s="1" t="str">
        <f>CONCATENATE("RAZVITAK CENTAR D.O.O., ZAGREB")</f>
        <v>RAZVITAK CENTAR D.O.O., ZAGREB</v>
      </c>
      <c r="I1563" s="2"/>
      <c r="J1563" s="1"/>
      <c r="K1563" s="2"/>
    </row>
    <row r="1564" spans="1:11" ht="47.25" x14ac:dyDescent="0.25">
      <c r="A1564" s="1" t="str">
        <f>"149/2014"</f>
        <v>149/2014</v>
      </c>
      <c r="B1564" s="1" t="s">
        <v>26</v>
      </c>
      <c r="C1564" s="1" t="s">
        <v>2730</v>
      </c>
      <c r="D1564" s="1" t="str">
        <f>"192-2013-EMV"</f>
        <v>192-2013-EMV</v>
      </c>
      <c r="E1564" s="2"/>
      <c r="F1564" s="1" t="str">
        <f>"642.560,00"</f>
        <v>642.560,00</v>
      </c>
      <c r="G1564" s="1" t="str">
        <f>CONCATENATE("25.03.2014.",CHAR(10),"12 mjeseci")</f>
        <v>25.03.2014.
12 mjeseci</v>
      </c>
      <c r="H1564" s="1" t="str">
        <f>CONCATENATE("SOBOSLIKARSKI I LIČILAČKI OBRT VL. PAVE VUKELIĆ, DUGO SELO")</f>
        <v>SOBOSLIKARSKI I LIČILAČKI OBRT VL. PAVE VUKELIĆ, DUGO SELO</v>
      </c>
      <c r="I1564" s="2"/>
      <c r="J1564" s="1"/>
      <c r="K1564" s="2"/>
    </row>
    <row r="1565" spans="1:11" ht="31.5" x14ac:dyDescent="0.25">
      <c r="A1565" s="1" t="str">
        <f>"A-46/2014"</f>
        <v>A-46/2014</v>
      </c>
      <c r="B1565" s="1" t="s">
        <v>11</v>
      </c>
      <c r="C1565" s="1" t="s">
        <v>560</v>
      </c>
      <c r="D1565" s="1" t="str">
        <f>"769-2012-EMV"</f>
        <v>769-2012-EMV</v>
      </c>
      <c r="E1565" s="2"/>
      <c r="F1565" s="1" t="str">
        <f>"0,00"</f>
        <v>0,00</v>
      </c>
      <c r="G1565" s="1" t="str">
        <f>CONCATENATE("26.03.2014.",CHAR(10),"02.08.2014")</f>
        <v>26.03.2014.
02.08.2014</v>
      </c>
      <c r="H1565" s="1" t="str">
        <f>CONCATENATE("HEDOM D.O.O., ZAGREB")</f>
        <v>HEDOM D.O.O., ZAGREB</v>
      </c>
      <c r="I1565" s="2"/>
      <c r="J1565" s="1"/>
      <c r="K1565" s="2"/>
    </row>
    <row r="1566" spans="1:11" ht="31.5" x14ac:dyDescent="0.25">
      <c r="A1566" s="1" t="str">
        <f>"A-47/2014"</f>
        <v>A-47/2014</v>
      </c>
      <c r="B1566" s="1" t="s">
        <v>11</v>
      </c>
      <c r="C1566" s="1" t="s">
        <v>561</v>
      </c>
      <c r="D1566" s="1" t="str">
        <f>"1629-2013-EMV"</f>
        <v>1629-2013-EMV</v>
      </c>
      <c r="E1566" s="2"/>
      <c r="F1566" s="1" t="str">
        <f>"0,00"</f>
        <v>0,00</v>
      </c>
      <c r="G1566" s="1" t="str">
        <f>CONCATENATE("26.03.2014.",CHAR(10),"produžuje se za 6 mjeseci")</f>
        <v>26.03.2014.
produžuje se za 6 mjeseci</v>
      </c>
      <c r="H1566" s="1" t="str">
        <f>CONCATENATE("ARHINGTRADE D.O.O., ZAGREB")</f>
        <v>ARHINGTRADE D.O.O., ZAGREB</v>
      </c>
      <c r="I1566" s="2"/>
      <c r="J1566" s="1"/>
      <c r="K1566" s="2"/>
    </row>
    <row r="1567" spans="1:11" ht="47.25" x14ac:dyDescent="0.25">
      <c r="A1567" s="1" t="str">
        <f>"150/2014"</f>
        <v>150/2014</v>
      </c>
      <c r="B1567" s="1" t="s">
        <v>26</v>
      </c>
      <c r="C1567" s="1" t="s">
        <v>2731</v>
      </c>
      <c r="D1567" s="1" t="str">
        <f>"411-2012-EVV"</f>
        <v>411-2012-EVV</v>
      </c>
      <c r="E1567" s="2"/>
      <c r="F1567" s="1" t="str">
        <f>"636.600,00"</f>
        <v>636.600,00</v>
      </c>
      <c r="G1567" s="1" t="str">
        <f>CONCATENATE("31.03.2014.",CHAR(10),"12 mjeseci")</f>
        <v>31.03.2014.
12 mjeseci</v>
      </c>
      <c r="H1567" s="1" t="str">
        <f>CONCATENATE("KEMIS-TERMOCLEAN D.O.O., ZAGREB")</f>
        <v>KEMIS-TERMOCLEAN D.O.O., ZAGREB</v>
      </c>
      <c r="I1567" s="2"/>
      <c r="J1567" s="1"/>
      <c r="K1567" s="2"/>
    </row>
    <row r="1568" spans="1:11" ht="78.75" x14ac:dyDescent="0.25">
      <c r="A1568" s="1" t="str">
        <f>"151/2014"</f>
        <v>151/2014</v>
      </c>
      <c r="B1568" s="1" t="s">
        <v>14</v>
      </c>
      <c r="C1568" s="1" t="s">
        <v>2732</v>
      </c>
      <c r="D1568" s="1" t="str">
        <f>CONCATENATE("363-2013-EMV",CHAR(10),"2013/S 002-0093391 od 13.11.2013. i ispravak 2014/S 014-0000697 od 09.01.2014.")</f>
        <v>363-2013-EMV
2013/S 002-0093391 od 13.11.2013. i ispravak 2014/S 014-0000697 od 09.01.2014.</v>
      </c>
      <c r="E1568" s="1" t="s">
        <v>15</v>
      </c>
      <c r="F1568" s="1" t="str">
        <f>"196.816,00"</f>
        <v>196.816,00</v>
      </c>
      <c r="G1568" s="1" t="str">
        <f>CONCATENATE("27.03.2014.",CHAR(10),"12 mjeseci")</f>
        <v>27.03.2014.
12 mjeseci</v>
      </c>
      <c r="H1568" s="1" t="str">
        <f>CONCATENATE("HP-HRVATSKA POŠTA D.D., ZAGREB")</f>
        <v>HP-HRVATSKA POŠTA D.D., ZAGREB</v>
      </c>
      <c r="I1568" s="2"/>
      <c r="J1568" s="1"/>
      <c r="K1568" s="2"/>
    </row>
    <row r="1569" spans="1:11" ht="47.25" x14ac:dyDescent="0.25">
      <c r="A1569" s="1" t="str">
        <f>"152/2014"</f>
        <v>152/2014</v>
      </c>
      <c r="B1569" s="1" t="s">
        <v>14</v>
      </c>
      <c r="C1569" s="1" t="s">
        <v>562</v>
      </c>
      <c r="D1569" s="1" t="str">
        <f>CONCATENATE("2881-2013-EMV",CHAR(10),"2013/S 002-0103896 od 27.12.2013.")</f>
        <v>2881-2013-EMV
2013/S 002-0103896 od 27.12.2013.</v>
      </c>
      <c r="E1569" s="1" t="s">
        <v>15</v>
      </c>
      <c r="F1569" s="1" t="str">
        <f>"95.890,00"</f>
        <v>95.890,00</v>
      </c>
      <c r="G1569" s="1" t="str">
        <f>CONCATENATE("27.03.2014.",CHAR(10),"30 dana od dana uvođenja u posao")</f>
        <v>27.03.2014.
30 dana od dana uvođenja u posao</v>
      </c>
      <c r="H1569" s="1" t="str">
        <f>CONCATENATE("TITAN CONSTRUCTA D.O.O., ZAGREB")</f>
        <v>TITAN CONSTRUCTA D.O.O., ZAGREB</v>
      </c>
      <c r="I1569" s="1" t="s">
        <v>473</v>
      </c>
      <c r="J1569" s="1" t="str">
        <f>SUBSTITUTE(SUBSTITUTE(SUBSTITUTE("119,676.13",".","-"),",","."),"-",",")</f>
        <v>119.676,13</v>
      </c>
      <c r="K1569" s="2"/>
    </row>
    <row r="1570" spans="1:11" ht="173.25" x14ac:dyDescent="0.25">
      <c r="A1570" s="1" t="str">
        <f>"A-48/2014"</f>
        <v>A-48/2014</v>
      </c>
      <c r="B1570" s="1" t="s">
        <v>11</v>
      </c>
      <c r="C1570" s="1" t="s">
        <v>563</v>
      </c>
      <c r="D1570" s="1" t="str">
        <f>"EV-767-012/2011"</f>
        <v>EV-767-012/2011</v>
      </c>
      <c r="E1570" s="2"/>
      <c r="F1570" s="1" t="str">
        <f>"0,00"</f>
        <v>0,00</v>
      </c>
      <c r="G1570" s="1" t="str">
        <f>CONCATENATE("27.03.2014.",CHAR(10),"1.9.2014")</f>
        <v>27.03.2014.
1.9.2014</v>
      </c>
      <c r="H1570" s="1" t="str">
        <f>CONCATENATE("1. Zajednica ponuditelja: ",CHAR(10),"    SMAGRA D.O.O., ZAGREB",CHAR(10),"    ARTEC D.O.O., ZAGREB",CHAR(10),"    VPS INŽENJERING D.O.O., ZAGREB",CHAR(10),"    PROJEKTNI BIRO NAGLIĆ D.O.O., ZAGREB",CHAR(10),"    SVEUČILIŠTE U ZAGREBU - GRAĐEVINSKI FAKULTET, ZAGREB",CHAR(10),"    GEOEKSPERT D.O.O., ZAGREB-NOVI ZAGREB",CHAR(10),"    GEOFORMAT D.O.O., ZAGREB")</f>
        <v>1. Zajednica ponuditelja: 
    SMAGRA D.O.O., ZAGREB
    ARTEC D.O.O., ZAGREB
    VPS INŽENJERING D.O.O., ZAGREB
    PROJEKTNI BIRO NAGLIĆ D.O.O., ZAGREB
    SVEUČILIŠTE U ZAGREBU - GRAĐEVINSKI FAKULTET, ZAGREB
    GEOEKSPERT D.O.O., ZAGREB-NOVI ZAGREB
    GEOFORMAT D.O.O., ZAGREB</v>
      </c>
      <c r="I1570" s="2"/>
      <c r="J1570" s="1"/>
      <c r="K1570" s="2"/>
    </row>
    <row r="1571" spans="1:11" ht="47.25" x14ac:dyDescent="0.25">
      <c r="A1571" s="1" t="str">
        <f>"153/2014"</f>
        <v>153/2014</v>
      </c>
      <c r="B1571" s="1" t="s">
        <v>14</v>
      </c>
      <c r="C1571" s="1" t="s">
        <v>2733</v>
      </c>
      <c r="D1571" s="1" t="str">
        <f>CONCATENATE("2255-2013-EMV",CHAR(10),"2014/S 002-0000018 od 03.01.2014.")</f>
        <v>2255-2013-EMV
2014/S 002-0000018 od 03.01.2014.</v>
      </c>
      <c r="E1571" s="1" t="s">
        <v>15</v>
      </c>
      <c r="F1571" s="1" t="str">
        <f>"870.000,00"</f>
        <v>870.000,00</v>
      </c>
      <c r="G1571" s="1" t="str">
        <f>CONCATENATE("27.03.2014.",CHAR(10),"270 dana od  potpisivanja ugovora")</f>
        <v>27.03.2014.
270 dana od  potpisivanja ugovora</v>
      </c>
      <c r="H1571" s="1" t="str">
        <f>CONCATENATE("1. Zajednica ponuditelja: ",CHAR(10),"    IPT-INŽENJERING D.O.O., ZAGREB",CHAR(10),"    AKING D.O.O., ZAGREB")</f>
        <v>1. Zajednica ponuditelja: 
    IPT-INŽENJERING D.O.O., ZAGREB
    AKING D.O.O., ZAGREB</v>
      </c>
      <c r="I1571" s="2"/>
      <c r="J1571" s="1"/>
      <c r="K1571" s="2"/>
    </row>
    <row r="1572" spans="1:11" ht="78.75" x14ac:dyDescent="0.25">
      <c r="A1572" s="1" t="str">
        <f>"154/2014"</f>
        <v>154/2014</v>
      </c>
      <c r="B1572" s="1" t="s">
        <v>14</v>
      </c>
      <c r="C1572" s="1" t="s">
        <v>2734</v>
      </c>
      <c r="D1572" s="1" t="str">
        <f>CONCATENATE("415-2013-EVV",CHAR(10),"2013/S-002-0055191 od 19.6. 2013.ispravak objave 2013/S-014-0065056 od 22.07.2013.")</f>
        <v>415-2013-EVV
2013/S-002-0055191 od 19.6. 2013.ispravak objave 2013/S-014-0065056 od 22.07.2013.</v>
      </c>
      <c r="E1572" s="1" t="s">
        <v>15</v>
      </c>
      <c r="F1572" s="1" t="str">
        <f>"24.747.087,93"</f>
        <v>24.747.087,93</v>
      </c>
      <c r="G1572" s="1" t="str">
        <f>CONCATENATE("27.12.2013.",CHAR(10),"31.7.2018")</f>
        <v>27.12.2013.
31.7.2018</v>
      </c>
      <c r="H1572" s="1" t="str">
        <f>CONCATENATE("ZAGREBAČKA BANKA D.D., ZAGREB")</f>
        <v>ZAGREBAČKA BANKA D.D., ZAGREB</v>
      </c>
      <c r="I1572" s="2"/>
      <c r="J1572" s="1"/>
      <c r="K1572" s="2"/>
    </row>
    <row r="1573" spans="1:11" ht="78.75" x14ac:dyDescent="0.25">
      <c r="A1573" s="1" t="str">
        <f>"155/2014"</f>
        <v>155/2014</v>
      </c>
      <c r="B1573" s="1" t="s">
        <v>14</v>
      </c>
      <c r="C1573" s="1" t="s">
        <v>2735</v>
      </c>
      <c r="D1573" s="1" t="str">
        <f>CONCATENATE("2861-2013-EMV",CHAR(10),"2013/S 002-04103866 od 27.12. 2013. ispravak 2014/S 014-0000157 od 07.01.2014.")</f>
        <v>2861-2013-EMV
2013/S 002-04103866 od 27.12. 2013. ispravak 2014/S 014-0000157 od 07.01.2014.</v>
      </c>
      <c r="E1573" s="1" t="s">
        <v>15</v>
      </c>
      <c r="F1573" s="1" t="str">
        <f>"304.439,79"</f>
        <v>304.439,79</v>
      </c>
      <c r="G1573" s="1" t="str">
        <f>CONCATENATE("31.03.2014.",CHAR(10),"6 mjeseci od dana uvođenja u posao")</f>
        <v>31.03.2014.
6 mjeseci od dana uvođenja u posao</v>
      </c>
      <c r="H1573" s="1" t="str">
        <f>CONCATENATE("SLU-KOM D.O.O., KUTINA")</f>
        <v>SLU-KOM D.O.O., KUTINA</v>
      </c>
      <c r="I1573" s="2"/>
      <c r="J1573" s="1"/>
      <c r="K1573" s="2"/>
    </row>
    <row r="1574" spans="1:11" ht="47.25" x14ac:dyDescent="0.25">
      <c r="A1574" s="1" t="str">
        <f>"156/2014"</f>
        <v>156/2014</v>
      </c>
      <c r="B1574" s="1" t="s">
        <v>14</v>
      </c>
      <c r="C1574" s="1" t="s">
        <v>2736</v>
      </c>
      <c r="D1574" s="1" t="str">
        <f>CONCATENATE("1242-2013-EMV",CHAR(10),"2013/S 002-010836 od 18.12.2013.")</f>
        <v>1242-2013-EMV
2013/S 002-010836 od 18.12.2013.</v>
      </c>
      <c r="E1574" s="1" t="s">
        <v>15</v>
      </c>
      <c r="F1574" s="1" t="str">
        <f>"140.107,00"</f>
        <v>140.107,00</v>
      </c>
      <c r="G1574" s="1" t="str">
        <f>CONCATENATE("31.03.2014.",CHAR(10),"30 dana od dana uvođenja u posao")</f>
        <v>31.03.2014.
30 dana od dana uvođenja u posao</v>
      </c>
      <c r="H1574" s="1" t="str">
        <f>CONCATENATE("MONTEL D.O.O., ZAGREB")</f>
        <v>MONTEL D.O.O., ZAGREB</v>
      </c>
      <c r="I1574" s="2"/>
      <c r="J1574" s="1"/>
      <c r="K1574" s="2"/>
    </row>
    <row r="1575" spans="1:11" ht="63" x14ac:dyDescent="0.25">
      <c r="A1575" s="1" t="str">
        <f>"157/2014"</f>
        <v>157/2014</v>
      </c>
      <c r="B1575" s="1" t="s">
        <v>14</v>
      </c>
      <c r="C1575" s="1" t="s">
        <v>2737</v>
      </c>
      <c r="D1575" s="1" t="str">
        <f>CONCATENATE("2772-2013-EVV",CHAR(10),"2013/S 002-0097683 od 28.11.2013.")</f>
        <v>2772-2013-EVV
2013/S 002-0097683 od 28.11.2013.</v>
      </c>
      <c r="E1575" s="1" t="s">
        <v>15</v>
      </c>
      <c r="F1575" s="1" t="str">
        <f>"786.100,00"</f>
        <v>786.100,00</v>
      </c>
      <c r="G1575" s="1" t="str">
        <f>CONCATENATE("31.03.2014.",CHAR(10),"90 dana")</f>
        <v>31.03.2014.
90 dana</v>
      </c>
      <c r="H1575" s="1" t="str">
        <f>CONCATENATE("1. Zajednica ponuditelja: ",CHAR(10),"    HIDROELEKTRA-PROJEKT D.O.O., ZAGREB",CHAR(10),"    RIJEKAPROJEKT D.O.O., RIJEKA")</f>
        <v>1. Zajednica ponuditelja: 
    HIDROELEKTRA-PROJEKT D.O.O., ZAGREB
    RIJEKAPROJEKT D.O.O., RIJEKA</v>
      </c>
      <c r="I1575" s="2"/>
      <c r="J1575" s="1"/>
      <c r="K1575" s="2"/>
    </row>
    <row r="1576" spans="1:11" ht="47.25" x14ac:dyDescent="0.25">
      <c r="A1576" s="1" t="str">
        <f>"A-49/2014"</f>
        <v>A-49/2014</v>
      </c>
      <c r="B1576" s="1" t="s">
        <v>11</v>
      </c>
      <c r="C1576" s="1" t="s">
        <v>564</v>
      </c>
      <c r="D1576" s="1" t="str">
        <f>"2850-2012-EMV"</f>
        <v>2850-2012-EMV</v>
      </c>
      <c r="E1576" s="2"/>
      <c r="F1576" s="1" t="str">
        <f>"0,00"</f>
        <v>0,00</v>
      </c>
      <c r="G1576" s="1" t="str">
        <f>CONCATENATE("01.04.2014.",CHAR(10),"31.05.2014")</f>
        <v>01.04.2014.
31.05.2014</v>
      </c>
      <c r="H1576" s="1" t="str">
        <f>CONCATENATE("1. Zajednica ponuditelja: ",CHAR(10),"    MAŠINOPROJEKT D.O.O., ZAGREB",CHAR(10),"    INKOS D.O.O., SVETA NEDJELJA")</f>
        <v>1. Zajednica ponuditelja: 
    MAŠINOPROJEKT D.O.O., ZAGREB
    INKOS D.O.O., SVETA NEDJELJA</v>
      </c>
      <c r="I1576" s="2"/>
      <c r="J1576" s="1"/>
      <c r="K1576" s="2"/>
    </row>
    <row r="1577" spans="1:11" ht="126" x14ac:dyDescent="0.25">
      <c r="A1577" s="1" t="str">
        <f>"158/2014"</f>
        <v>158/2014</v>
      </c>
      <c r="B1577" s="1" t="s">
        <v>14</v>
      </c>
      <c r="C1577" s="1" t="s">
        <v>2738</v>
      </c>
      <c r="D1577" s="1" t="str">
        <f>CONCATENATE("1312-2013-EMV",CHAR(10),"2013/S 002-0094995 od 19.11.2013.")</f>
        <v>1312-2013-EMV
2013/S 002-0094995 od 19.11.2013.</v>
      </c>
      <c r="E1577" s="1" t="s">
        <v>15</v>
      </c>
      <c r="F1577" s="1" t="str">
        <f>"59.600,00"</f>
        <v>59.600,00</v>
      </c>
      <c r="G1577" s="1" t="str">
        <f>CONCATENATE("01.04.2014.",CHAR(10),"12 MJESECI")</f>
        <v>01.04.2014.
12 MJESECI</v>
      </c>
      <c r="H1577" s="1" t="str">
        <f>CONCATENATE("1. Zajednica ponuditelja: ",CHAR(10),"    JURCON PROJEKT D.O.O., ZAGREB",CHAR(10),"    URBANISTIČKI ZAVOD GRADA ZAGREBA D.O.O., ZAGREB",CHAR(10),"    BAU ING EXPERT J.D.O.O., ZAGREB")</f>
        <v>1. Zajednica ponuditelja: 
    JURCON PROJEKT D.O.O., ZAGREB
    URBANISTIČKI ZAVOD GRADA ZAGREBA D.O.O., ZAGREB
    BAU ING EXPERT J.D.O.O., ZAGREB</v>
      </c>
      <c r="I1577" s="2"/>
      <c r="J1577" s="1"/>
      <c r="K1577" s="2"/>
    </row>
    <row r="1578" spans="1:11" ht="78.75" x14ac:dyDescent="0.25">
      <c r="A1578" s="1" t="str">
        <f>"A-50/2014"</f>
        <v>A-50/2014</v>
      </c>
      <c r="B1578" s="1" t="s">
        <v>11</v>
      </c>
      <c r="C1578" s="1" t="s">
        <v>565</v>
      </c>
      <c r="D1578" s="1" t="str">
        <f>"1115-2013-EMV"</f>
        <v>1115-2013-EMV</v>
      </c>
      <c r="E1578" s="2"/>
      <c r="F1578" s="1" t="str">
        <f>"0,00"</f>
        <v>0,00</v>
      </c>
      <c r="G1578" s="1" t="str">
        <f>CONCATENATE("01.04.2014.",CHAR(10),"8 mjeseci")</f>
        <v>01.04.2014.
8 mjeseci</v>
      </c>
      <c r="H1578" s="1" t="str">
        <f>CONCATENATE("1. Zajednica ponuditelja: ",CHAR(10),"    HEDOM D.O.O., ZAGREB",CHAR(10),"    EIT-ELEKTROINSTALACIJSKA TEHNIKA D.O.O., ZAGREB",CHAR(10),"    ENERGOHERC D.O.O., ZAGREB")</f>
        <v>1. Zajednica ponuditelja: 
    HEDOM D.O.O., ZAGREB
    EIT-ELEKTROINSTALACIJSKA TEHNIKA D.O.O., ZAGREB
    ENERGOHERC D.O.O., ZAGREB</v>
      </c>
      <c r="I1578" s="2"/>
      <c r="J1578" s="1"/>
      <c r="K1578" s="2"/>
    </row>
    <row r="1579" spans="1:11" ht="47.25" x14ac:dyDescent="0.25">
      <c r="A1579" s="1" t="str">
        <f>"159/2014"</f>
        <v>159/2014</v>
      </c>
      <c r="B1579" s="1" t="s">
        <v>14</v>
      </c>
      <c r="C1579" s="1" t="s">
        <v>2739</v>
      </c>
      <c r="D1579" s="1" t="str">
        <f>CONCATENATE("2744-2013-EMV",CHAR(10),"2014/S 015-0006603 od 11.02.2014.")</f>
        <v>2744-2013-EMV
2014/S 015-0006603 od 11.02.2014.</v>
      </c>
      <c r="E1579" s="1" t="s">
        <v>12</v>
      </c>
      <c r="F1579" s="1" t="str">
        <f>"170.115,92"</f>
        <v>170.115,92</v>
      </c>
      <c r="G1579" s="1" t="str">
        <f>CONCATENATE("02.04.2014.",CHAR(10),"20 dana od dana uvođenja u posao")</f>
        <v>02.04.2014.
20 dana od dana uvođenja u posao</v>
      </c>
      <c r="H1579" s="1" t="str">
        <f>CONCATENATE("1. Zajednica ponuditelja: ",CHAR(10),"    AMB GRADNJA D.O.O., ZAGREB",CHAR(10),"    GEOFORMAT D.O.O., ZAGREB")</f>
        <v>1. Zajednica ponuditelja: 
    AMB GRADNJA D.O.O., ZAGREB
    GEOFORMAT D.O.O., ZAGREB</v>
      </c>
      <c r="I1579" s="1" t="s">
        <v>555</v>
      </c>
      <c r="J1579" s="1" t="str">
        <f>SUBSTITUTE(SUBSTITUTE(SUBSTITUTE("212,644.90",".","-"),",","."),"-",",")</f>
        <v>212.644,90</v>
      </c>
      <c r="K1579" s="2"/>
    </row>
    <row r="1580" spans="1:11" ht="78.75" x14ac:dyDescent="0.25">
      <c r="A1580" s="1" t="str">
        <f>"160/2014"</f>
        <v>160/2014</v>
      </c>
      <c r="B1580" s="1" t="s">
        <v>14</v>
      </c>
      <c r="C1580" s="1" t="s">
        <v>2740</v>
      </c>
      <c r="D1580" s="1" t="str">
        <f>CONCATENATE("317-2013-EMV",CHAR(10),"2014/S 002-0000520OD 8.1.2014 ISPRAVAK OBJAVE 2014/S 014-0003432 od 27.01.2014.")</f>
        <v>317-2013-EMV
2014/S 002-0000520OD 8.1.2014 ISPRAVAK OBJAVE 2014/S 014-0003432 od 27.01.2014.</v>
      </c>
      <c r="E1580" s="1" t="s">
        <v>15</v>
      </c>
      <c r="F1580" s="1" t="str">
        <f>"88.000,00"</f>
        <v>88.000,00</v>
      </c>
      <c r="G1580" s="1" t="str">
        <f>CONCATENATE("04.04.2014.",CHAR(10),"90 dana")</f>
        <v>04.04.2014.
90 dana</v>
      </c>
      <c r="H1580" s="1" t="str">
        <f>CONCATENATE("MREŽA ZNANJA D.O.O., ZAGREB")</f>
        <v>MREŽA ZNANJA D.O.O., ZAGREB</v>
      </c>
      <c r="I1580" s="1" t="s">
        <v>270</v>
      </c>
      <c r="J1580" s="1" t="str">
        <f>SUBSTITUTE(SUBSTITUTE(SUBSTITUTE("110,000.00",".","-"),",","."),"-",",")</f>
        <v>110.000,00</v>
      </c>
      <c r="K1580" s="2"/>
    </row>
    <row r="1581" spans="1:11" ht="47.25" x14ac:dyDescent="0.25">
      <c r="A1581" s="1" t="str">
        <f>"161/2014"</f>
        <v>161/2014</v>
      </c>
      <c r="B1581" s="1" t="s">
        <v>14</v>
      </c>
      <c r="C1581" s="1" t="s">
        <v>2741</v>
      </c>
      <c r="D1581" s="1" t="str">
        <f>CONCATENATE("2879-2013-EMV",CHAR(10),"2014/S 015-0011703 od 10.03.2014.")</f>
        <v>2879-2013-EMV
2014/S 015-0011703 od 10.03.2014.</v>
      </c>
      <c r="E1581" s="1" t="s">
        <v>12</v>
      </c>
      <c r="F1581" s="1" t="str">
        <f>"401.365,65"</f>
        <v>401.365,65</v>
      </c>
      <c r="G1581" s="1" t="str">
        <f>CONCATENATE("02.04.2014.",CHAR(10),"14 kalendarskih dana od dana uvođenja u posao")</f>
        <v>02.04.2014.
14 kalendarskih dana od dana uvođenja u posao</v>
      </c>
      <c r="H1581" s="1" t="str">
        <f>CONCATENATE("HEP-OPERATOR DISTRIBUCIJSKOG SUSTAVA D.O.O., ZAGREB")</f>
        <v>HEP-OPERATOR DISTRIBUCIJSKOG SUSTAVA D.O.O., ZAGREB</v>
      </c>
      <c r="I1581" s="2"/>
      <c r="J1581" s="1"/>
      <c r="K1581" s="2"/>
    </row>
    <row r="1582" spans="1:11" ht="47.25" x14ac:dyDescent="0.25">
      <c r="A1582" s="1" t="str">
        <f>"162/2014"</f>
        <v>162/2014</v>
      </c>
      <c r="B1582" s="1" t="s">
        <v>14</v>
      </c>
      <c r="C1582" s="1" t="s">
        <v>1424</v>
      </c>
      <c r="D1582" s="1" t="str">
        <f>CONCATENATE("1190-2013-EMV",CHAR(10),"2013/S 002-0079747 od 24.09.2013.")</f>
        <v>1190-2013-EMV
2013/S 002-0079747 od 24.09.2013.</v>
      </c>
      <c r="E1582" s="1" t="s">
        <v>15</v>
      </c>
      <c r="F1582" s="1" t="str">
        <f>"1.071.367,50"</f>
        <v>1.071.367,50</v>
      </c>
      <c r="G1582" s="1" t="str">
        <f>CONCATENATE("04.04.2014.",CHAR(10),"12 mjeseci")</f>
        <v>04.04.2014.
12 mjeseci</v>
      </c>
      <c r="H1582" s="1" t="str">
        <f>CONCATENATE("TELUR D.O.O., ZAGREB")</f>
        <v>TELUR D.O.O., ZAGREB</v>
      </c>
      <c r="I1582" s="2"/>
      <c r="J1582" s="1"/>
      <c r="K1582" s="2"/>
    </row>
    <row r="1583" spans="1:11" ht="47.25" x14ac:dyDescent="0.25">
      <c r="A1583" s="1" t="str">
        <f>"163/2014"</f>
        <v>163/2014</v>
      </c>
      <c r="B1583" s="1" t="s">
        <v>14</v>
      </c>
      <c r="C1583" s="1" t="s">
        <v>2742</v>
      </c>
      <c r="D1583" s="1" t="str">
        <f>CONCATENATE("1672-2013-EMV",CHAR(10),"2014/S 002-0000787 od 09.01.2014.")</f>
        <v>1672-2013-EMV
2014/S 002-0000787 od 09.01.2014.</v>
      </c>
      <c r="E1583" s="1" t="s">
        <v>15</v>
      </c>
      <c r="F1583" s="1" t="str">
        <f>"717.711,32"</f>
        <v>717.711,32</v>
      </c>
      <c r="G1583" s="1" t="str">
        <f>CONCATENATE("04.04.2014.",CHAR(10),"45 dana od dana uvođenja u posao")</f>
        <v>04.04.2014.
45 dana od dana uvođenja u posao</v>
      </c>
      <c r="H1583" s="1" t="str">
        <f>CONCATENATE("PEEK PROMET D.O.O., ZAGREB")</f>
        <v>PEEK PROMET D.O.O., ZAGREB</v>
      </c>
      <c r="I1583" s="2"/>
      <c r="J1583" s="1"/>
      <c r="K1583" s="2"/>
    </row>
    <row r="1584" spans="1:11" ht="47.25" x14ac:dyDescent="0.25">
      <c r="A1584" s="1" t="str">
        <f>"164/2014"</f>
        <v>164/2014</v>
      </c>
      <c r="B1584" s="1" t="s">
        <v>14</v>
      </c>
      <c r="C1584" s="1" t="s">
        <v>2743</v>
      </c>
      <c r="D1584" s="1" t="str">
        <f>CONCATENATE("2435-2013-EMV",CHAR(10),"2014/S 002-0000030 od 03.01.2014.")</f>
        <v>2435-2013-EMV
2014/S 002-0000030 od 03.01.2014.</v>
      </c>
      <c r="E1584" s="1" t="s">
        <v>15</v>
      </c>
      <c r="F1584" s="1" t="str">
        <f>"318.284,90"</f>
        <v>318.284,90</v>
      </c>
      <c r="G1584" s="1" t="str">
        <f>CONCATENATE("03.04.2014.",CHAR(10),"60 dana od dana uvođenja u posao")</f>
        <v>03.04.2014.
60 dana od dana uvođenja u posao</v>
      </c>
      <c r="H1584" s="1" t="str">
        <f>CONCATENATE("DELTRON D.O.O., SPLIT")</f>
        <v>DELTRON D.O.O., SPLIT</v>
      </c>
      <c r="I1584" s="2"/>
      <c r="J1584" s="1"/>
      <c r="K1584" s="2"/>
    </row>
    <row r="1585" spans="1:11" ht="63" x14ac:dyDescent="0.25">
      <c r="A1585" s="1" t="str">
        <f>"165/2014"</f>
        <v>165/2014</v>
      </c>
      <c r="B1585" s="1" t="s">
        <v>26</v>
      </c>
      <c r="C1585" s="1" t="s">
        <v>2744</v>
      </c>
      <c r="D1585" s="1" t="str">
        <f>"378-2012-EVV"</f>
        <v>378-2012-EVV</v>
      </c>
      <c r="E1585" s="2"/>
      <c r="F1585" s="1" t="str">
        <f>"8.419.998,10"</f>
        <v>8.419.998,10</v>
      </c>
      <c r="G1585" s="1" t="str">
        <f>CONCATENATE("07.04.2014.",CHAR(10),"12 mjeseci")</f>
        <v>07.04.2014.
12 mjeseci</v>
      </c>
      <c r="H1585" s="1" t="str">
        <f>CONCATENATE("DUKAT D.D., ZAGREB")</f>
        <v>DUKAT D.D., ZAGREB</v>
      </c>
      <c r="I1585" s="2"/>
      <c r="J1585" s="1"/>
      <c r="K1585" s="2"/>
    </row>
    <row r="1586" spans="1:11" ht="78.75" x14ac:dyDescent="0.25">
      <c r="A1586" s="1" t="str">
        <f>"A-51/2014"</f>
        <v>A-51/2014</v>
      </c>
      <c r="B1586" s="1" t="s">
        <v>11</v>
      </c>
      <c r="C1586" s="1" t="s">
        <v>566</v>
      </c>
      <c r="D1586" s="1" t="str">
        <f>"2760-2012-EMV"</f>
        <v>2760-2012-EMV</v>
      </c>
      <c r="E1586" s="2"/>
      <c r="F1586" s="1" t="str">
        <f>"44.681,80"</f>
        <v>44.681,80</v>
      </c>
      <c r="G1586" s="1" t="str">
        <f>"07.04.2014."</f>
        <v>07.04.2014.</v>
      </c>
      <c r="H1586" s="1" t="str">
        <f>CONCATENATE("1. Zajednica ponuditelja: ",CHAR(10),"    GRADITELJ SVRATIŠTA D.O.O., ZAGREB",CHAR(10),"    KEMIS-TERMOCLEAN D.O.O., ZAGREB")</f>
        <v>1. Zajednica ponuditelja: 
    GRADITELJ SVRATIŠTA D.O.O., ZAGREB
    KEMIS-TERMOCLEAN D.O.O., ZAGREB</v>
      </c>
      <c r="I1586" s="1" t="s">
        <v>396</v>
      </c>
      <c r="J1586" s="1" t="str">
        <f>SUBSTITUTE(SUBSTITUTE(SUBSTITUTE("55,852.25",".","-"),",","."),"-",",")</f>
        <v>55.852,25</v>
      </c>
      <c r="K1586" s="2"/>
    </row>
    <row r="1587" spans="1:11" ht="94.5" x14ac:dyDescent="0.25">
      <c r="A1587" s="1" t="str">
        <f>"A-52/2014"</f>
        <v>A-52/2014</v>
      </c>
      <c r="B1587" s="1" t="s">
        <v>11</v>
      </c>
      <c r="C1587" s="1" t="s">
        <v>567</v>
      </c>
      <c r="D1587" s="2"/>
      <c r="E1587" s="2"/>
      <c r="F1587" s="1" t="str">
        <f>"0,00"</f>
        <v>0,00</v>
      </c>
      <c r="G1587" s="1" t="str">
        <f>CONCATENATE("04.04.2014.",CHAR(10),"15.4.2014")</f>
        <v>04.04.2014.
15.4.2014</v>
      </c>
      <c r="H1587" s="1" t="str">
        <f>CONCATENATE("1. Zajednica ponuditelja: ",CHAR(10),"    DALEKOVOD-PROJEKT D.O.O., ZAGREB",CHAR(10),"    ENERGETSKI INSTITUT HRVOJE POŽAR, ZAGREB")</f>
        <v>1. Zajednica ponuditelja: 
    DALEKOVOD-PROJEKT D.O.O., ZAGREB
    ENERGETSKI INSTITUT HRVOJE POŽAR, ZAGREB</v>
      </c>
      <c r="I1587" s="2"/>
      <c r="J1587" s="1"/>
      <c r="K1587" s="2"/>
    </row>
    <row r="1588" spans="1:11" ht="47.25" x14ac:dyDescent="0.25">
      <c r="A1588" s="1" t="str">
        <f>"166/2014"</f>
        <v>166/2014</v>
      </c>
      <c r="B1588" s="1" t="s">
        <v>14</v>
      </c>
      <c r="C1588" s="1" t="s">
        <v>1353</v>
      </c>
      <c r="D1588" s="1" t="str">
        <f>CONCATENATE("1534-2014-EMV",CHAR(10),"2014/S 002-0009063 od 24.02.2014.")</f>
        <v>1534-2014-EMV
2014/S 002-0009063 od 24.02.2014.</v>
      </c>
      <c r="E1588" s="1" t="s">
        <v>15</v>
      </c>
      <c r="F1588" s="1" t="str">
        <f>"287.640,00"</f>
        <v>287.640,00</v>
      </c>
      <c r="G1588" s="1" t="str">
        <f>CONCATENATE("07.04.2014.",CHAR(10),"16.4.2014")</f>
        <v>07.04.2014.
16.4.2014</v>
      </c>
      <c r="H1588" s="1" t="str">
        <f>CONCATENATE("MARINO-LUČKO D.O.O., LUČKO")</f>
        <v>MARINO-LUČKO D.O.O., LUČKO</v>
      </c>
      <c r="I1588" s="1" t="s">
        <v>568</v>
      </c>
      <c r="J1588" s="1" t="str">
        <f>SUBSTITUTE(SUBSTITUTE(SUBSTITUTE("359,550.00",".","-"),",","."),"-",",")</f>
        <v>359.550,00</v>
      </c>
      <c r="K1588" s="2"/>
    </row>
    <row r="1589" spans="1:11" ht="47.25" x14ac:dyDescent="0.25">
      <c r="A1589" s="1" t="str">
        <f>"167/2014"</f>
        <v>167/2014</v>
      </c>
      <c r="B1589" s="1" t="s">
        <v>14</v>
      </c>
      <c r="C1589" s="1" t="s">
        <v>2745</v>
      </c>
      <c r="D1589" s="1" t="str">
        <f>CONCATENATE("1131-2013-EMV",CHAR(10),"2013/S 002-0068852 od 06.08.2014.")</f>
        <v>1131-2013-EMV
2013/S 002-0068852 od 06.08.2014.</v>
      </c>
      <c r="E1589" s="1" t="s">
        <v>15</v>
      </c>
      <c r="F1589" s="1" t="str">
        <f>"1.021.959,80"</f>
        <v>1.021.959,80</v>
      </c>
      <c r="G1589" s="1" t="str">
        <f>CONCATENATE("08.04.2014.",CHAR(10),"13 mjeseci od dana uvođenja u posao")</f>
        <v>08.04.2014.
13 mjeseci od dana uvođenja u posao</v>
      </c>
      <c r="H1589" s="1" t="str">
        <f>CONCATENATE("MEDVEDGRADINVEST D.O.O., LEPAJCI")</f>
        <v>MEDVEDGRADINVEST D.O.O., LEPAJCI</v>
      </c>
      <c r="I1589" s="2"/>
      <c r="J1589" s="1"/>
      <c r="K1589" s="2"/>
    </row>
    <row r="1590" spans="1:11" ht="47.25" x14ac:dyDescent="0.25">
      <c r="A1590" s="1" t="str">
        <f>"168/2014"</f>
        <v>168/2014</v>
      </c>
      <c r="B1590" s="1" t="s">
        <v>26</v>
      </c>
      <c r="C1590" s="1" t="s">
        <v>2746</v>
      </c>
      <c r="D1590" s="1" t="str">
        <f>"189-2013-EMV"</f>
        <v>189-2013-EMV</v>
      </c>
      <c r="E1590" s="2"/>
      <c r="F1590" s="1" t="str">
        <f>"700.000,00"</f>
        <v>700.000,00</v>
      </c>
      <c r="G1590" s="1" t="str">
        <f>CONCATENATE("09.04.2014.",CHAR(10),"12 mjeseci od dana obostranog potpisa ugovora")</f>
        <v>09.04.2014.
12 mjeseci od dana obostranog potpisa ugovora</v>
      </c>
      <c r="H1590" s="1" t="str">
        <f>CONCATENATE("GRADITELJ SVRATIŠTA D.O.O., ZAGREB")</f>
        <v>GRADITELJ SVRATIŠTA D.O.O., ZAGREB</v>
      </c>
      <c r="I1590" s="2"/>
      <c r="J1590" s="1"/>
      <c r="K1590" s="2"/>
    </row>
    <row r="1591" spans="1:11" ht="47.25" x14ac:dyDescent="0.25">
      <c r="A1591" s="1" t="str">
        <f>"169/2014"</f>
        <v>169/2014</v>
      </c>
      <c r="B1591" s="1" t="s">
        <v>26</v>
      </c>
      <c r="C1591" s="1" t="s">
        <v>2747</v>
      </c>
      <c r="D1591" s="1" t="str">
        <f>"189-2013-EMV"</f>
        <v>189-2013-EMV</v>
      </c>
      <c r="E1591" s="2"/>
      <c r="F1591" s="1" t="str">
        <f>"320.000,00"</f>
        <v>320.000,00</v>
      </c>
      <c r="G1591" s="1" t="str">
        <f>CONCATENATE("09.04.2014.",CHAR(10),"12 mjeseci")</f>
        <v>09.04.2014.
12 mjeseci</v>
      </c>
      <c r="H1591" s="1" t="str">
        <f>CONCATENATE("GRADITELJ SVRATIŠTA D.O.O., ZAGREB")</f>
        <v>GRADITELJ SVRATIŠTA D.O.O., ZAGREB</v>
      </c>
      <c r="I1591" s="2"/>
      <c r="J1591" s="1"/>
      <c r="K1591" s="2"/>
    </row>
    <row r="1592" spans="1:11" ht="31.5" x14ac:dyDescent="0.25">
      <c r="A1592" s="1" t="str">
        <f>"170/2014"</f>
        <v>170/2014</v>
      </c>
      <c r="B1592" s="1" t="s">
        <v>26</v>
      </c>
      <c r="C1592" s="1" t="s">
        <v>2748</v>
      </c>
      <c r="D1592" s="1" t="str">
        <f>"773-2012-EMV"</f>
        <v>773-2012-EMV</v>
      </c>
      <c r="E1592" s="2"/>
      <c r="F1592" s="1" t="str">
        <f>"49.895,50"</f>
        <v>49.895,50</v>
      </c>
      <c r="G1592" s="1" t="str">
        <f>CONCATENATE("10.04.2014.",CHAR(10),"12 mjeseci")</f>
        <v>10.04.2014.
12 mjeseci</v>
      </c>
      <c r="H1592" s="1" t="str">
        <f>CONCATENATE("MILAN UTOVIĆ DIPL ING., STALNI SUDSKI VJEŠTAK, ZAGREB")</f>
        <v>MILAN UTOVIĆ DIPL ING., STALNI SUDSKI VJEŠTAK, ZAGREB</v>
      </c>
      <c r="I1592" s="2"/>
      <c r="J1592" s="1"/>
      <c r="K1592" s="2"/>
    </row>
    <row r="1593" spans="1:11" ht="78.75" x14ac:dyDescent="0.25">
      <c r="A1593" s="1" t="str">
        <f>"171/2014"</f>
        <v>171/2014</v>
      </c>
      <c r="B1593" s="1" t="s">
        <v>26</v>
      </c>
      <c r="C1593" s="1" t="s">
        <v>2749</v>
      </c>
      <c r="D1593" s="1" t="str">
        <f>"210-2013-EMV"</f>
        <v>210-2013-EMV</v>
      </c>
      <c r="E1593" s="2"/>
      <c r="F1593" s="1" t="str">
        <f>"43.800,00"</f>
        <v>43.800,00</v>
      </c>
      <c r="G1593" s="1" t="str">
        <f>CONCATENATE("09.04.2014.",CHAR(10),"12 mjeseci")</f>
        <v>09.04.2014.
12 mjeseci</v>
      </c>
      <c r="H1593" s="1" t="str">
        <f>CONCATENATE("INSPEKT D.O.O., ZAGREB")</f>
        <v>INSPEKT D.O.O., ZAGREB</v>
      </c>
      <c r="I1593" s="1" t="s">
        <v>384</v>
      </c>
      <c r="J1593" s="1" t="str">
        <f>SUBSTITUTE(SUBSTITUTE(SUBSTITUTE("53,100.00",".","-"),",","."),"-",",")</f>
        <v>53.100,00</v>
      </c>
      <c r="K1593" s="2"/>
    </row>
    <row r="1594" spans="1:11" ht="47.25" x14ac:dyDescent="0.25">
      <c r="A1594" s="1" t="str">
        <f>"172/2014"</f>
        <v>172/2014</v>
      </c>
      <c r="B1594" s="1" t="s">
        <v>14</v>
      </c>
      <c r="C1594" s="1" t="s">
        <v>569</v>
      </c>
      <c r="D1594" s="1" t="str">
        <f>CONCATENATE("1684-2014-EMV",CHAR(10),"2014/S 015-0016379 od 31.03.2014.")</f>
        <v>1684-2014-EMV
2014/S 015-0016379 od 31.03.2014.</v>
      </c>
      <c r="E1594" s="1" t="s">
        <v>40</v>
      </c>
      <c r="F1594" s="1" t="str">
        <f>"888.039,00"</f>
        <v>888.039,00</v>
      </c>
      <c r="G1594" s="1" t="str">
        <f>CONCATENATE("11.04.2014.",CHAR(10),"30.11.2014.")</f>
        <v>11.04.2014.
30.11.2014.</v>
      </c>
      <c r="H1594" s="1" t="str">
        <f>CONCATENATE("PUČKO OTVORENO UČILIŠTE ZAGREB, ZAGREB")</f>
        <v>PUČKO OTVORENO UČILIŠTE ZAGREB, ZAGREB</v>
      </c>
      <c r="I1594" s="1" t="s">
        <v>570</v>
      </c>
      <c r="J1594" s="1" t="str">
        <f>SUBSTITUTE(SUBSTITUTE(SUBSTITUTE("781,963.00",".","-"),",","."),"-",",")</f>
        <v>781.963,00</v>
      </c>
      <c r="K1594" s="2"/>
    </row>
    <row r="1595" spans="1:11" ht="63" x14ac:dyDescent="0.25">
      <c r="A1595" s="1" t="str">
        <f>"A-54/2014"</f>
        <v>A-54/2014</v>
      </c>
      <c r="B1595" s="1" t="s">
        <v>11</v>
      </c>
      <c r="C1595" s="1" t="s">
        <v>571</v>
      </c>
      <c r="D1595" s="1" t="str">
        <f>"2456-2012-EMV"</f>
        <v>2456-2012-EMV</v>
      </c>
      <c r="E1595" s="2"/>
      <c r="F1595" s="1" t="str">
        <f>"0,00"</f>
        <v>0,00</v>
      </c>
      <c r="G1595" s="1" t="str">
        <f>CONCATENATE("09.04.2014.",CHAR(10),"5.7.2014")</f>
        <v>09.04.2014.
5.7.2014</v>
      </c>
      <c r="H1595" s="1" t="str">
        <f>CONCATENATE("USLUŽNI OBRT ''INKI DINKI'', ZAGREB")</f>
        <v>USLUŽNI OBRT ''INKI DINKI'', ZAGREB</v>
      </c>
      <c r="I1595" s="2"/>
      <c r="J1595" s="1"/>
      <c r="K1595" s="2"/>
    </row>
    <row r="1596" spans="1:11" ht="63" x14ac:dyDescent="0.25">
      <c r="A1596" s="1" t="str">
        <f>"A-55/2014"</f>
        <v>A-55/2014</v>
      </c>
      <c r="B1596" s="1" t="s">
        <v>11</v>
      </c>
      <c r="C1596" s="1" t="s">
        <v>572</v>
      </c>
      <c r="D1596" s="1" t="str">
        <f>"505-2013-EMV"</f>
        <v>505-2013-EMV</v>
      </c>
      <c r="E1596" s="2"/>
      <c r="F1596" s="1" t="str">
        <f>"0,00"</f>
        <v>0,00</v>
      </c>
      <c r="G1596" s="1" t="str">
        <f>CONCATENATE("09.04.2014.",CHAR(10),"90 dana od dana uvođenja u posao")</f>
        <v>09.04.2014.
90 dana od dana uvođenja u posao</v>
      </c>
      <c r="H1596" s="1" t="str">
        <f>CONCATENATE("1. Zajednica ponuditelja: ",CHAR(10),"    O.K.I. MONT D.O.O., ZAGREB",CHAR(10),"    KEMIS-TERMOCLEAN D.O.O., ZAGREB")</f>
        <v>1. Zajednica ponuditelja: 
    O.K.I. MONT D.O.O., ZAGREB
    KEMIS-TERMOCLEAN D.O.O., ZAGREB</v>
      </c>
      <c r="I1596" s="2"/>
      <c r="J1596" s="1"/>
      <c r="K1596" s="2"/>
    </row>
    <row r="1597" spans="1:11" ht="47.25" x14ac:dyDescent="0.25">
      <c r="A1597" s="1" t="str">
        <f>"174/2014"</f>
        <v>174/2014</v>
      </c>
      <c r="B1597" s="1" t="s">
        <v>14</v>
      </c>
      <c r="C1597" s="1" t="s">
        <v>2750</v>
      </c>
      <c r="D1597" s="1" t="str">
        <f>CONCATENATE("323-2013-EMV",CHAR(10),"2014/S 002-0000294 od 07.01.2014.")</f>
        <v>323-2013-EMV
2014/S 002-0000294 od 07.01.2014.</v>
      </c>
      <c r="E1597" s="1" t="s">
        <v>15</v>
      </c>
      <c r="F1597" s="1" t="str">
        <f>"216.400,00"</f>
        <v>216.400,00</v>
      </c>
      <c r="G1597" s="1" t="str">
        <f>CONCATENATE("11.04.2014.",CHAR(10),"180  dana")</f>
        <v>11.04.2014.
180  dana</v>
      </c>
      <c r="H1597" s="1" t="str">
        <f>CONCATENATE("HENDAL D.O.O., ZAGREB")</f>
        <v>HENDAL D.O.O., ZAGREB</v>
      </c>
      <c r="I1597" s="1" t="s">
        <v>573</v>
      </c>
      <c r="J1597" s="1" t="str">
        <f>SUBSTITUTE(SUBSTITUTE(SUBSTITUTE("270,500.00",".","-"),",","."),"-",",")</f>
        <v>270.500,00</v>
      </c>
      <c r="K1597" s="2"/>
    </row>
    <row r="1598" spans="1:11" ht="78.75" x14ac:dyDescent="0.25">
      <c r="A1598" s="1" t="str">
        <f>"175/2014"</f>
        <v>175/2014</v>
      </c>
      <c r="B1598" s="1" t="s">
        <v>14</v>
      </c>
      <c r="C1598" s="1" t="s">
        <v>2751</v>
      </c>
      <c r="D1598" s="1" t="str">
        <f>CONCATENATE("2860-2013-EMV",CHAR(10),"2013/S 002-0097947 od 29.11.2013.")</f>
        <v>2860-2013-EMV
2013/S 002-0097947 od 29.11.2013.</v>
      </c>
      <c r="E1598" s="1" t="s">
        <v>15</v>
      </c>
      <c r="F1598" s="1" t="str">
        <f>"399.480,00"</f>
        <v>399.480,00</v>
      </c>
      <c r="G1598" s="1" t="str">
        <f>CONCATENATE("11.04.2014.",CHAR(10),"5 MJESECI")</f>
        <v>11.04.2014.
5 MJESECI</v>
      </c>
      <c r="H1598" s="1" t="str">
        <f>CONCATENATE("1. Zajednica ponuditelja: ",CHAR(10),"    ING EKSPERT D.O.O., ZAGREB",CHAR(10),"    H5 D.O.O,., BELOVAR",CHAR(10),"    ELVING PROJEKTIRANJE D.O.O., NOVI MAROF")</f>
        <v>1. Zajednica ponuditelja: 
    ING EKSPERT D.O.O., ZAGREB
    H5 D.O.O,., BELOVAR
    ELVING PROJEKTIRANJE D.O.O., NOVI MAROF</v>
      </c>
      <c r="I1598" s="2"/>
      <c r="J1598" s="1"/>
      <c r="K1598" s="2"/>
    </row>
    <row r="1599" spans="1:11" ht="94.5" x14ac:dyDescent="0.25">
      <c r="A1599" s="1" t="str">
        <f>"176/2014"</f>
        <v>176/2014</v>
      </c>
      <c r="B1599" s="1" t="s">
        <v>14</v>
      </c>
      <c r="C1599" s="1" t="s">
        <v>2752</v>
      </c>
      <c r="D1599" s="1" t="str">
        <f>CONCATENATE("1335-2013-EMV",CHAR(10),"2013/S  002-01000219, te ispravci 2013/S 014-0101255, 2013/S 014-0103838, 2014/S 014-0000508 od 09.12.2013.")</f>
        <v>1335-2013-EMV
2013/S  002-01000219, te ispravci 2013/S 014-0101255, 2013/S 014-0103838, 2014/S 014-0000508 od 09.12.2013.</v>
      </c>
      <c r="E1599" s="1" t="s">
        <v>15</v>
      </c>
      <c r="F1599" s="1" t="str">
        <f>"7.872.733,50"</f>
        <v>7.872.733,50</v>
      </c>
      <c r="G1599" s="1" t="str">
        <f>CONCATENATE("16.04.2014.",CHAR(10),"od 90 dana od dana uvođenja u posao")</f>
        <v>16.04.2014.
od 90 dana od dana uvođenja u posao</v>
      </c>
      <c r="H1599" s="1" t="str">
        <f>CONCATENATE("PALIR D.O.O., ZAGREB")</f>
        <v>PALIR D.O.O., ZAGREB</v>
      </c>
      <c r="I1599" s="2"/>
      <c r="J1599" s="1"/>
      <c r="K1599" s="2"/>
    </row>
    <row r="1600" spans="1:11" ht="47.25" x14ac:dyDescent="0.25">
      <c r="A1600" s="1" t="str">
        <f>"177/2014"</f>
        <v>177/2014</v>
      </c>
      <c r="B1600" s="1" t="s">
        <v>136</v>
      </c>
      <c r="C1600" s="1" t="s">
        <v>2753</v>
      </c>
      <c r="D1600" s="1" t="str">
        <f>CONCATENATE("2895-2013-EVV",CHAR(10),"2014/S 002-0003355 od 27.01.2014.")</f>
        <v>2895-2013-EVV
2014/S 002-0003355 od 27.01.2014.</v>
      </c>
      <c r="E1600" s="1" t="s">
        <v>366</v>
      </c>
      <c r="F1600" s="1" t="str">
        <f>"5.961.000,00"</f>
        <v>5.961.000,00</v>
      </c>
      <c r="G1600" s="1" t="str">
        <f>CONCATENATE("14.04.2014.",CHAR(10),"2 godine")</f>
        <v>14.04.2014.
2 godine</v>
      </c>
      <c r="H1600" s="1" t="str">
        <f>CONCATENATE("OMEGA SOFTWARE D.O.O., ZAGREB-SLOBOŠTINA")</f>
        <v>OMEGA SOFTWARE D.O.O., ZAGREB-SLOBOŠTINA</v>
      </c>
      <c r="I1600" s="2"/>
      <c r="J1600" s="1"/>
      <c r="K1600" s="2"/>
    </row>
    <row r="1601" spans="1:11" ht="47.25" x14ac:dyDescent="0.25">
      <c r="A1601" s="1" t="str">
        <f>"178/2014"</f>
        <v>178/2014</v>
      </c>
      <c r="B1601" s="1" t="s">
        <v>14</v>
      </c>
      <c r="C1601" s="1" t="s">
        <v>2754</v>
      </c>
      <c r="D1601" s="1" t="str">
        <f>CONCATENATE("3244-2013-EBV",CHAR(10),"2014/S 015-0009292 od 25.02.2014.")</f>
        <v>3244-2013-EBV
2014/S 015-0009292 od 25.02.2014.</v>
      </c>
      <c r="E1601" s="1" t="s">
        <v>12</v>
      </c>
      <c r="F1601" s="1" t="str">
        <f>"24.520,76"</f>
        <v>24.520,76</v>
      </c>
      <c r="G1601" s="1" t="str">
        <f>CONCATENATE("15.04.2014.",CHAR(10),"10 dana")</f>
        <v>15.04.2014.
10 dana</v>
      </c>
      <c r="H1601" s="1" t="str">
        <f>CONCATENATE("NERING D.O.O., SESVETE")</f>
        <v>NERING D.O.O., SESVETE</v>
      </c>
      <c r="I1601" s="1" t="s">
        <v>574</v>
      </c>
      <c r="J1601" s="1" t="str">
        <f>SUBSTITUTE(SUBSTITUTE(SUBSTITUTE("30,650.95",".","-"),",","."),"-",",")</f>
        <v>30.650,95</v>
      </c>
      <c r="K1601" s="2"/>
    </row>
    <row r="1602" spans="1:11" ht="47.25" x14ac:dyDescent="0.25">
      <c r="A1602" s="1" t="str">
        <f>"A-56/2014"</f>
        <v>A-56/2014</v>
      </c>
      <c r="B1602" s="1" t="s">
        <v>11</v>
      </c>
      <c r="C1602" s="1" t="s">
        <v>575</v>
      </c>
      <c r="D1602" s="1" t="str">
        <f>"1986-2013-EMV"</f>
        <v>1986-2013-EMV</v>
      </c>
      <c r="E1602" s="2"/>
      <c r="F1602" s="1" t="str">
        <f>"0,00"</f>
        <v>0,00</v>
      </c>
      <c r="G1602" s="1" t="str">
        <f>CONCATENATE("14.04.2014.",CHAR(10),"do 07.05.2014.")</f>
        <v>14.04.2014.
do 07.05.2014.</v>
      </c>
      <c r="H1602" s="1" t="str">
        <f>CONCATENATE("GEORAD D.O.O., ZAGREB")</f>
        <v>GEORAD D.O.O., ZAGREB</v>
      </c>
      <c r="I1602" s="2"/>
      <c r="J1602" s="1"/>
      <c r="K1602" s="2"/>
    </row>
    <row r="1603" spans="1:11" ht="31.5" x14ac:dyDescent="0.25">
      <c r="A1603" s="1" t="str">
        <f>"179/2014"</f>
        <v>179/2014</v>
      </c>
      <c r="B1603" s="1" t="s">
        <v>26</v>
      </c>
      <c r="C1603" s="1" t="s">
        <v>2755</v>
      </c>
      <c r="D1603" s="1" t="str">
        <f>"188-2013-EVV"</f>
        <v>188-2013-EVV</v>
      </c>
      <c r="E1603" s="2"/>
      <c r="F1603" s="1" t="str">
        <f>"932.244,13"</f>
        <v>932.244,13</v>
      </c>
      <c r="G1603" s="1" t="str">
        <f>CONCATENATE("14.04.2014.",CHAR(10),"12 mjeseci")</f>
        <v>14.04.2014.
12 mjeseci</v>
      </c>
      <c r="H1603" s="1" t="str">
        <f>CONCATENATE("RAZVITAK CENTAR D.O.O., ZAGREB")</f>
        <v>RAZVITAK CENTAR D.O.O., ZAGREB</v>
      </c>
      <c r="I1603" s="1" t="s">
        <v>576</v>
      </c>
      <c r="J1603" s="1" t="str">
        <f>SUBSTITUTE(SUBSTITUTE(SUBSTITUTE("1,165,281.63",".","-"),",","."),"-",",")</f>
        <v>1.165.281,63</v>
      </c>
      <c r="K1603" s="2"/>
    </row>
    <row r="1604" spans="1:11" ht="63" x14ac:dyDescent="0.25">
      <c r="A1604" s="1" t="str">
        <f>"182/2014"</f>
        <v>182/2014</v>
      </c>
      <c r="B1604" s="1" t="s">
        <v>14</v>
      </c>
      <c r="C1604" s="1" t="s">
        <v>2756</v>
      </c>
      <c r="D1604" s="1" t="str">
        <f>CONCATENATE("2752-2013-EMV",CHAR(10),"2013/S 002-0100982, te ispr. 2013/S 014-0104011 od 12.12.2013.")</f>
        <v>2752-2013-EMV
2013/S 002-0100982, te ispr. 2013/S 014-0104011 od 12.12.2013.</v>
      </c>
      <c r="E1604" s="1" t="s">
        <v>15</v>
      </c>
      <c r="F1604" s="1" t="str">
        <f>"595.260,00"</f>
        <v>595.260,00</v>
      </c>
      <c r="G1604" s="1" t="str">
        <f>CONCATENATE("16.04.2014.",CHAR(10),"60 dana od dana uvođenja u posao")</f>
        <v>16.04.2014.
60 dana od dana uvođenja u posao</v>
      </c>
      <c r="H1604" s="1" t="str">
        <f>CONCATENATE("MONTEL D.O.O., ZAGREB")</f>
        <v>MONTEL D.O.O., ZAGREB</v>
      </c>
      <c r="I1604" s="2"/>
      <c r="J1604" s="1"/>
      <c r="K1604" s="2"/>
    </row>
    <row r="1605" spans="1:11" ht="47.25" x14ac:dyDescent="0.25">
      <c r="A1605" s="1" t="str">
        <f>"183/2014"</f>
        <v>183/2014</v>
      </c>
      <c r="B1605" s="1" t="s">
        <v>26</v>
      </c>
      <c r="C1605" s="1" t="s">
        <v>2757</v>
      </c>
      <c r="D1605" s="1" t="str">
        <f>"195-2013-EMV"</f>
        <v>195-2013-EMV</v>
      </c>
      <c r="E1605" s="2"/>
      <c r="F1605" s="1" t="str">
        <f>"432.784,55"</f>
        <v>432.784,55</v>
      </c>
      <c r="G1605" s="1" t="str">
        <f>CONCATENATE("18.04.2014.",CHAR(10),"12 mjeseci od obostranog potpisa ugovora")</f>
        <v>18.04.2014.
12 mjeseci od obostranog potpisa ugovora</v>
      </c>
      <c r="H1605" s="1" t="str">
        <f>CONCATENATE("ENERGETIKA-SERVIS D.O.O., ZAGREB",CHAR(10),"STP, ZAGREB")</f>
        <v>ENERGETIKA-SERVIS D.O.O., ZAGREB
STP, ZAGREB</v>
      </c>
      <c r="I1605" s="2"/>
      <c r="J1605" s="1"/>
      <c r="K1605" s="2"/>
    </row>
    <row r="1606" spans="1:11" ht="47.25" x14ac:dyDescent="0.25">
      <c r="A1606" s="1" t="str">
        <f>"184/2014"</f>
        <v>184/2014</v>
      </c>
      <c r="B1606" s="1" t="s">
        <v>14</v>
      </c>
      <c r="C1606" s="1" t="s">
        <v>2758</v>
      </c>
      <c r="D1606" s="1" t="str">
        <f>CONCATENATE("1109-2013-EVV",CHAR(10),"2013/S 002-0084030 od 09.10.2013.")</f>
        <v>1109-2013-EVV
2013/S 002-0084030 od 09.10.2013.</v>
      </c>
      <c r="E1606" s="1" t="s">
        <v>15</v>
      </c>
      <c r="F1606" s="1" t="str">
        <f>"2.118.542,00"</f>
        <v>2.118.542,00</v>
      </c>
      <c r="G1606" s="1" t="str">
        <f>CONCATENATE("23.04.2014.",CHAR(10),"3 mjeseca od slanja pisanog naloga Naručitelja")</f>
        <v>23.04.2014.
3 mjeseca od slanja pisanog naloga Naručitelja</v>
      </c>
      <c r="H1606" s="1" t="str">
        <f>CONCATENATE("ŠKOLSKI SERVIS D.O.O., ZAGREB")</f>
        <v>ŠKOLSKI SERVIS D.O.O., ZAGREB</v>
      </c>
      <c r="I1606" s="2"/>
      <c r="J1606" s="1"/>
      <c r="K1606" s="2"/>
    </row>
    <row r="1607" spans="1:11" ht="78.75" x14ac:dyDescent="0.25">
      <c r="A1607" s="1" t="str">
        <f>"185/2014"</f>
        <v>185/2014</v>
      </c>
      <c r="B1607" s="1" t="s">
        <v>14</v>
      </c>
      <c r="C1607" s="1" t="s">
        <v>2759</v>
      </c>
      <c r="D1607" s="1" t="str">
        <f>CONCATENATE("365-2013-EVV",CHAR(10),"2013/S 002-0078698 od 19.9.2013 ispravak objave broj 2013/S 014-0094864 od 18.11.2013.")</f>
        <v>365-2013-EVV
2013/S 002-0078698 od 19.9.2013 ispravak objave broj 2013/S 014-0094864 od 18.11.2013.</v>
      </c>
      <c r="E1607" s="1" t="s">
        <v>15</v>
      </c>
      <c r="F1607" s="1" t="str">
        <f>"2.114.367,00"</f>
        <v>2.114.367,00</v>
      </c>
      <c r="G1607" s="1" t="str">
        <f>CONCATENATE("18.04.2014.",CHAR(10),"12 mjeseci od obostranog potpisa ugovora")</f>
        <v>18.04.2014.
12 mjeseci od obostranog potpisa ugovora</v>
      </c>
      <c r="H1607" s="1" t="str">
        <f>CONCATENATE("CITY EX D.O.O., ZAGREB")</f>
        <v>CITY EX D.O.O., ZAGREB</v>
      </c>
      <c r="I1607" s="2"/>
      <c r="J1607" s="1"/>
      <c r="K1607" s="2"/>
    </row>
    <row r="1608" spans="1:11" ht="47.25" x14ac:dyDescent="0.25">
      <c r="A1608" s="1" t="str">
        <f>"186/2014"</f>
        <v>186/2014</v>
      </c>
      <c r="B1608" s="1" t="s">
        <v>14</v>
      </c>
      <c r="C1608" s="1" t="s">
        <v>2760</v>
      </c>
      <c r="D1608" s="1" t="str">
        <f>CONCATENATE("1262-2013-EMV",CHAR(10),"2013/S 002-0095390 od 20.11.2013.")</f>
        <v>1262-2013-EMV
2013/S 002-0095390 od 20.11.2013.</v>
      </c>
      <c r="E1608" s="1" t="s">
        <v>15</v>
      </c>
      <c r="F1608" s="1" t="str">
        <f>"638.200,00"</f>
        <v>638.200,00</v>
      </c>
      <c r="G1608" s="1" t="str">
        <f>CONCATENATE("18.04.2014.",CHAR(10),"90 dana od dana uvođenja u posao")</f>
        <v>18.04.2014.
90 dana od dana uvođenja u posao</v>
      </c>
      <c r="H1608" s="1" t="str">
        <f>CONCATENATE("O.K.I. MONT D.O.O., ZAGREB")</f>
        <v>O.K.I. MONT D.O.O., ZAGREB</v>
      </c>
      <c r="I1608" s="2"/>
      <c r="J1608" s="1"/>
      <c r="K1608" s="2"/>
    </row>
    <row r="1609" spans="1:11" ht="78.75" x14ac:dyDescent="0.25">
      <c r="A1609" s="1" t="str">
        <f>"A-57/2014"</f>
        <v>A-57/2014</v>
      </c>
      <c r="B1609" s="1" t="s">
        <v>11</v>
      </c>
      <c r="C1609" s="1" t="s">
        <v>577</v>
      </c>
      <c r="D1609" s="1" t="str">
        <f>"1627-2013-EMV"</f>
        <v>1627-2013-EMV</v>
      </c>
      <c r="E1609" s="2"/>
      <c r="F1609" s="1" t="str">
        <f>"0,00"</f>
        <v>0,00</v>
      </c>
      <c r="G1609" s="1" t="str">
        <f>CONCATENATE("18.04.2014.",CHAR(10),"rok izvršenja usluga produžuje se za 120 dana")</f>
        <v>18.04.2014.
rok izvršenja usluga produžuje se za 120 dana</v>
      </c>
      <c r="H1609" s="1" t="str">
        <f>CONCATENATE("1. Zajednica ponuditelja: ",CHAR(10),"    BRODARSKI INSTITUT D.O.O., ZAGREB-NOVI ZAGREB",CHAR(10),"    FUNKCIONALNA CJELINA D.O.O., ZAGREB")</f>
        <v>1. Zajednica ponuditelja: 
    BRODARSKI INSTITUT D.O.O., ZAGREB-NOVI ZAGREB
    FUNKCIONALNA CJELINA D.O.O., ZAGREB</v>
      </c>
      <c r="I1609" s="2"/>
      <c r="J1609" s="1"/>
      <c r="K1609" s="2"/>
    </row>
    <row r="1610" spans="1:11" ht="47.25" x14ac:dyDescent="0.25">
      <c r="A1610" s="1" t="str">
        <f>"A-58/2014"</f>
        <v>A-58/2014</v>
      </c>
      <c r="B1610" s="1" t="s">
        <v>11</v>
      </c>
      <c r="C1610" s="1" t="s">
        <v>578</v>
      </c>
      <c r="D1610" s="1" t="str">
        <f>"1101-2012-EMV"</f>
        <v>1101-2012-EMV</v>
      </c>
      <c r="E1610" s="2"/>
      <c r="F1610" s="1" t="str">
        <f>"0,00"</f>
        <v>0,00</v>
      </c>
      <c r="G1610" s="1" t="str">
        <f>CONCATENATE("18.04.2014.",CHAR(10),"rok izvršenja usluga produžuje se za 100 dana")</f>
        <v>18.04.2014.
rok izvršenja usluga produžuje se za 100 dana</v>
      </c>
      <c r="H1610" s="1" t="str">
        <f>CONCATENATE("BELMET97 D.O.O., ZAGREB")</f>
        <v>BELMET97 D.O.O., ZAGREB</v>
      </c>
      <c r="I1610" s="2"/>
      <c r="J1610" s="1"/>
      <c r="K1610" s="2"/>
    </row>
    <row r="1611" spans="1:11" ht="47.25" x14ac:dyDescent="0.25">
      <c r="A1611" s="1" t="str">
        <f>"188/2014"</f>
        <v>188/2014</v>
      </c>
      <c r="B1611" s="1" t="s">
        <v>136</v>
      </c>
      <c r="C1611" s="1" t="s">
        <v>2761</v>
      </c>
      <c r="D1611" s="1" t="str">
        <f>CONCATENATE("2891-2013-EVV",CHAR(10),"2014/S 002-0003355 od 27.01.2014.")</f>
        <v>2891-2013-EVV
2014/S 002-0003355 od 27.01.2014.</v>
      </c>
      <c r="E1611" s="1" t="s">
        <v>366</v>
      </c>
      <c r="F1611" s="1" t="str">
        <f>"13.712.800,00"</f>
        <v>13.712.800,00</v>
      </c>
      <c r="G1611" s="1" t="str">
        <f>CONCATENATE("18.04.2014.",CHAR(10),"2 godine")</f>
        <v>18.04.2014.
2 godine</v>
      </c>
      <c r="H1611" s="1" t="str">
        <f>CONCATENATE("OMEGA SOFTWARE D.O.O., ZAGREB-SLOBOŠTINA")</f>
        <v>OMEGA SOFTWARE D.O.O., ZAGREB-SLOBOŠTINA</v>
      </c>
      <c r="I1611" s="2"/>
      <c r="J1611" s="1"/>
      <c r="K1611" s="2"/>
    </row>
    <row r="1612" spans="1:11" ht="63" x14ac:dyDescent="0.25">
      <c r="A1612" s="1" t="str">
        <f>"189/2014"</f>
        <v>189/2014</v>
      </c>
      <c r="B1612" s="1" t="s">
        <v>14</v>
      </c>
      <c r="C1612" s="1" t="s">
        <v>2762</v>
      </c>
      <c r="D1612" s="1" t="str">
        <f>CONCATENATE("1232-2013-EMV",CHAR(10),"2014/S 002-000757 od 09.01.2014.")</f>
        <v>1232-2013-EMV
2014/S 002-000757 od 09.01.2014.</v>
      </c>
      <c r="E1612" s="1" t="s">
        <v>15</v>
      </c>
      <c r="F1612" s="1" t="str">
        <f>"52.045,50"</f>
        <v>52.045,50</v>
      </c>
      <c r="G1612" s="1" t="str">
        <f>CONCATENATE("24.04.2014.",CHAR(10),"30 dana od dana uvođenja u posao")</f>
        <v>24.04.2014.
30 dana od dana uvođenja u posao</v>
      </c>
      <c r="H1612" s="1" t="str">
        <f>CONCATENATE("1. Zajednica ponuditelja: ",CHAR(10),"    ELEKTROKEM D.O.O., SESVETE",CHAR(10),"    GEO-INFORMATIČKI STUDIO D.O.O., ZAGREB")</f>
        <v>1. Zajednica ponuditelja: 
    ELEKTROKEM D.O.O., SESVETE
    GEO-INFORMATIČKI STUDIO D.O.O., ZAGREB</v>
      </c>
      <c r="I1612" s="2"/>
      <c r="J1612" s="1"/>
      <c r="K1612" s="2"/>
    </row>
    <row r="1613" spans="1:11" ht="47.25" x14ac:dyDescent="0.25">
      <c r="A1613" s="1" t="str">
        <f>"190/2014"</f>
        <v>190/2014</v>
      </c>
      <c r="B1613" s="1" t="s">
        <v>136</v>
      </c>
      <c r="C1613" s="1" t="s">
        <v>2763</v>
      </c>
      <c r="D1613" s="1" t="str">
        <f>CONCATENATE("481-2013-EVV",CHAR(10),"2013/S 002-0102172 od 19.12.2013.")</f>
        <v>481-2013-EVV
2013/S 002-0102172 od 19.12.2013.</v>
      </c>
      <c r="E1613" s="1" t="s">
        <v>366</v>
      </c>
      <c r="F1613" s="1" t="str">
        <f>"1.846.812,40"</f>
        <v>1.846.812,40</v>
      </c>
      <c r="G1613" s="1" t="str">
        <f>CONCATENATE("25.04.2014.",CHAR(10),"4 godine")</f>
        <v>25.04.2014.
4 godine</v>
      </c>
      <c r="H1613" s="1" t="str">
        <f>CONCATENATE("1. Zajednica ponuditelja: ",CHAR(10),"    LUKAČ D.O.O., ZAGREB",CHAR(10),"    NUJIĆ MARKO D.O.O., ZAGREB")</f>
        <v>1. Zajednica ponuditelja: 
    LUKAČ D.O.O., ZAGREB
    NUJIĆ MARKO D.O.O., ZAGREB</v>
      </c>
      <c r="I1613" s="2"/>
      <c r="J1613" s="1"/>
      <c r="K1613" s="2"/>
    </row>
    <row r="1614" spans="1:11" ht="47.25" x14ac:dyDescent="0.25">
      <c r="A1614" s="1" t="str">
        <f>"191/2014"</f>
        <v>191/2014</v>
      </c>
      <c r="B1614" s="1" t="s">
        <v>14</v>
      </c>
      <c r="C1614" s="1" t="s">
        <v>2764</v>
      </c>
      <c r="D1614" s="1" t="str">
        <f>CONCATENATE("200-2013-EMV",CHAR(10),"2014/S 002-0000651 od 09.01.2014.")</f>
        <v>200-2013-EMV
2014/S 002-0000651 od 09.01.2014.</v>
      </c>
      <c r="E1614" s="1" t="s">
        <v>15</v>
      </c>
      <c r="F1614" s="1" t="str">
        <f>"416.229,92"</f>
        <v>416.229,92</v>
      </c>
      <c r="G1614" s="1" t="str">
        <f>CONCATENATE("06.05.2014.",CHAR(10),"60 dana od dana uvođenja u posao")</f>
        <v>06.05.2014.
60 dana od dana uvođenja u posao</v>
      </c>
      <c r="H1614" s="1" t="str">
        <f>CONCATENATE("MI-MARIS D.O.O., IVANIĆ GRAD")</f>
        <v>MI-MARIS D.O.O., IVANIĆ GRAD</v>
      </c>
      <c r="I1614" s="1" t="s">
        <v>429</v>
      </c>
      <c r="J1614" s="1" t="str">
        <f>SUBSTITUTE(SUBSTITUTE(SUBSTITUTE("514,753.83",".","-"),",","."),"-",",")</f>
        <v>514.753,83</v>
      </c>
      <c r="K1614" s="2"/>
    </row>
    <row r="1615" spans="1:11" ht="94.5" x14ac:dyDescent="0.25">
      <c r="A1615" s="1" t="str">
        <f>"192/2014"</f>
        <v>192/2014</v>
      </c>
      <c r="B1615" s="1" t="s">
        <v>14</v>
      </c>
      <c r="C1615" s="1" t="s">
        <v>2765</v>
      </c>
      <c r="D1615" s="1" t="str">
        <f>CONCATENATE("1324-2013-EMV",CHAR(10),"2014/S 002-0000929 od 10.1.2014; te ispravak objave broj 2014/S-014-0003133 od 24.01.2014.")</f>
        <v>1324-2013-EMV
2014/S 002-0000929 od 10.1.2014; te ispravak objave broj 2014/S-014-0003133 od 24.01.2014.</v>
      </c>
      <c r="E1615" s="1" t="s">
        <v>15</v>
      </c>
      <c r="F1615" s="1" t="str">
        <f>"51.100,00"</f>
        <v>51.100,00</v>
      </c>
      <c r="G1615" s="1" t="str">
        <f>CONCATENATE("06.05.2014.",CHAR(10),"30 dana od dana obostranog potpisa ugovora")</f>
        <v>06.05.2014.
30 dana od dana obostranog potpisa ugovora</v>
      </c>
      <c r="H1615" s="1" t="str">
        <f>CONCATENATE("1. Zajednica ponuditelja: ",CHAR(10),"    PGT ŠKUNCA D.O.O., ZAGREB-SUSEDGRAD",CHAR(10),"    GEODATA PROJEKT D.O.O., ZAGREB",CHAR(10),"    BAU-PROJEKT D.O.O., JASTREBARSKO")</f>
        <v>1. Zajednica ponuditelja: 
    PGT ŠKUNCA D.O.O., ZAGREB-SUSEDGRAD
    GEODATA PROJEKT D.O.O., ZAGREB
    BAU-PROJEKT D.O.O., JASTREBARSKO</v>
      </c>
      <c r="I1615" s="2"/>
      <c r="J1615" s="1"/>
      <c r="K1615" s="2"/>
    </row>
    <row r="1616" spans="1:11" ht="78.75" x14ac:dyDescent="0.25">
      <c r="A1616" s="1" t="str">
        <f>"193/2014"</f>
        <v>193/2014</v>
      </c>
      <c r="B1616" s="1" t="s">
        <v>14</v>
      </c>
      <c r="C1616" s="1" t="s">
        <v>2766</v>
      </c>
      <c r="D1616" s="1" t="str">
        <f>CONCATENATE("2864-2013-EMV",CHAR(10),"2014/S 002-0000067 od 03.01.2014.")</f>
        <v>2864-2013-EMV
2014/S 002-0000067 od 03.01.2014.</v>
      </c>
      <c r="E1616" s="1" t="s">
        <v>15</v>
      </c>
      <c r="F1616" s="1" t="str">
        <f>"57.400,00"</f>
        <v>57.400,00</v>
      </c>
      <c r="G1616" s="1" t="str">
        <f>CONCATENATE("06.05.2014.",CHAR(10),"4 mjeseca od dana obostranog potpisa ugovora")</f>
        <v>06.05.2014.
4 mjeseca od dana obostranog potpisa ugovora</v>
      </c>
      <c r="H1616" s="1" t="str">
        <f>CONCATENATE("GEODATA PROJEKT D.O.O., ZAGREB")</f>
        <v>GEODATA PROJEKT D.O.O., ZAGREB</v>
      </c>
      <c r="I1616" s="2"/>
      <c r="J1616" s="1"/>
      <c r="K1616" s="2"/>
    </row>
    <row r="1617" spans="1:11" ht="47.25" x14ac:dyDescent="0.25">
      <c r="A1617" s="1" t="str">
        <f>"194/2014"</f>
        <v>194/2014</v>
      </c>
      <c r="B1617" s="1" t="s">
        <v>14</v>
      </c>
      <c r="C1617" s="1" t="s">
        <v>579</v>
      </c>
      <c r="D1617" s="1" t="str">
        <f>CONCATENATE("1438-2014-EMV",CHAR(10),"2014/S 002-0006343 od 10.02.2014.")</f>
        <v>1438-2014-EMV
2014/S 002-0006343 od 10.02.2014.</v>
      </c>
      <c r="E1617" s="1" t="s">
        <v>15</v>
      </c>
      <c r="F1617" s="1" t="str">
        <f>"2.866.035,00"</f>
        <v>2.866.035,00</v>
      </c>
      <c r="G1617" s="1" t="str">
        <f>CONCATENATE("07.05.2014.",CHAR(10),"12 mjeseci od dana uvođenja u posao")</f>
        <v>07.05.2014.
12 mjeseci od dana uvođenja u posao</v>
      </c>
      <c r="H1617" s="1" t="str">
        <f>CONCATENATE("PISMORAD D.D., ZAGREB")</f>
        <v>PISMORAD D.D., ZAGREB</v>
      </c>
      <c r="I1617" s="2"/>
      <c r="J1617" s="1"/>
      <c r="K1617" s="2"/>
    </row>
    <row r="1618" spans="1:11" ht="47.25" x14ac:dyDescent="0.25">
      <c r="A1618" s="1" t="str">
        <f>"195/2014"</f>
        <v>195/2014</v>
      </c>
      <c r="B1618" s="1" t="s">
        <v>14</v>
      </c>
      <c r="C1618" s="1" t="s">
        <v>2767</v>
      </c>
      <c r="D1618" s="1" t="str">
        <f>CONCATENATE("434-2014-EMV",CHAR(10),"2014/S 015-0021515 od 28.04.2014.")</f>
        <v>434-2014-EMV
2014/S 015-0021515 od 28.04.2014.</v>
      </c>
      <c r="E1618" s="1" t="s">
        <v>12</v>
      </c>
      <c r="F1618" s="1" t="str">
        <f>"629.015,28"</f>
        <v>629.015,28</v>
      </c>
      <c r="G1618" s="1" t="str">
        <f>CONCATENATE("09.05.2014.",CHAR(10),"odmah nakon  obostranog potpisa ugovora")</f>
        <v>09.05.2014.
odmah nakon  obostranog potpisa ugovora</v>
      </c>
      <c r="H1618" s="1" t="str">
        <f>CONCATENATE("PROFIL INTERNATIONAL D.O.O., ZAGREB")</f>
        <v>PROFIL INTERNATIONAL D.O.O., ZAGREB</v>
      </c>
      <c r="I1618" s="1" t="s">
        <v>461</v>
      </c>
      <c r="J1618" s="1" t="str">
        <f>SUBSTITUTE(SUBSTITUTE(SUBSTITUTE("534,502.77",".","-"),",","."),"-",",")</f>
        <v>534.502,77</v>
      </c>
      <c r="K1618" s="2"/>
    </row>
    <row r="1619" spans="1:11" ht="47.25" x14ac:dyDescent="0.25">
      <c r="A1619" s="1" t="str">
        <f>"197/2014"</f>
        <v>197/2014</v>
      </c>
      <c r="B1619" s="1" t="s">
        <v>14</v>
      </c>
      <c r="C1619" s="1" t="s">
        <v>2768</v>
      </c>
      <c r="D1619" s="1" t="str">
        <f>CONCATENATE("2894-2013-EMV",CHAR(10),"2014/S 015-0021127 od 24.04.2014.")</f>
        <v>2894-2013-EMV
2014/S 015-0021127 od 24.04.2014.</v>
      </c>
      <c r="E1619" s="1" t="s">
        <v>12</v>
      </c>
      <c r="F1619" s="1" t="str">
        <f>"6.179.776,98"</f>
        <v>6.179.776,98</v>
      </c>
      <c r="G1619" s="1" t="str">
        <f>CONCATENATE("13.05.2014.",CHAR(10),"6 mjeseci od dana uvođenja u posao")</f>
        <v>13.05.2014.
6 mjeseci od dana uvođenja u posao</v>
      </c>
      <c r="H1619" s="1" t="str">
        <f>CONCATENATE("ZAGREBGRADNJA D.O.O., ZAGREB")</f>
        <v>ZAGREBGRADNJA D.O.O., ZAGREB</v>
      </c>
      <c r="I1619" s="2"/>
      <c r="J1619" s="1"/>
      <c r="K1619" s="2"/>
    </row>
    <row r="1620" spans="1:11" ht="47.25" x14ac:dyDescent="0.25">
      <c r="A1620" s="1" t="str">
        <f>"198/2014"</f>
        <v>198/2014</v>
      </c>
      <c r="B1620" s="1" t="s">
        <v>14</v>
      </c>
      <c r="C1620" s="1" t="s">
        <v>2769</v>
      </c>
      <c r="D1620" s="1" t="str">
        <f>CONCATENATE("2892-2013-EMV",CHAR(10),"2014/S 015-0022287 od 02.05.2014.")</f>
        <v>2892-2013-EMV
2014/S 015-0022287 od 02.05.2014.</v>
      </c>
      <c r="E1620" s="1" t="s">
        <v>12</v>
      </c>
      <c r="F1620" s="1" t="str">
        <f>"1.481.591,19"</f>
        <v>1.481.591,19</v>
      </c>
      <c r="G1620" s="1" t="str">
        <f>CONCATENATE("13.05.2014.",CHAR(10),"6 mjeseci od dana uvođenja u posao")</f>
        <v>13.05.2014.
6 mjeseci od dana uvođenja u posao</v>
      </c>
      <c r="H1620" s="1" t="str">
        <f>CONCATENATE("ZAGREBGRADNJA D.O.O., ZAGREB")</f>
        <v>ZAGREBGRADNJA D.O.O., ZAGREB</v>
      </c>
      <c r="I1620" s="1" t="s">
        <v>297</v>
      </c>
      <c r="J1620" s="1" t="str">
        <f>SUBSTITUTE(SUBSTITUTE(SUBSTITUTE("1,329,516.63",".","-"),",","."),"-",",")</f>
        <v>1.329.516,63</v>
      </c>
      <c r="K1620" s="2"/>
    </row>
    <row r="1621" spans="1:11" ht="47.25" x14ac:dyDescent="0.25">
      <c r="A1621" s="1" t="str">
        <f>"199/2014"</f>
        <v>199/2014</v>
      </c>
      <c r="B1621" s="1" t="s">
        <v>14</v>
      </c>
      <c r="C1621" s="1" t="s">
        <v>2770</v>
      </c>
      <c r="D1621" s="1" t="str">
        <f>CONCATENATE("2893-2013-EMV",CHAR(10),"2014/S 015-0021127 od 24.04.2014.")</f>
        <v>2893-2013-EMV
2014/S 015-0021127 od 24.04.2014.</v>
      </c>
      <c r="E1621" s="1" t="s">
        <v>12</v>
      </c>
      <c r="F1621" s="1" t="str">
        <f>"999.613,11"</f>
        <v>999.613,11</v>
      </c>
      <c r="G1621" s="1" t="str">
        <f>CONCATENATE("14.05.2014.",CHAR(10),"6 mjeseci od dana uvođenja u posao")</f>
        <v>14.05.2014.
6 mjeseci od dana uvođenja u posao</v>
      </c>
      <c r="H1621" s="1" t="str">
        <f>CONCATENATE("NEXE GRADNJA D.O.O., NAŠICE")</f>
        <v>NEXE GRADNJA D.O.O., NAŠICE</v>
      </c>
      <c r="I1621" s="1" t="s">
        <v>456</v>
      </c>
      <c r="J1621" s="1" t="str">
        <f>SUBSTITUTE(SUBSTITUTE(SUBSTITUTE("1,248,512.54",".","-"),",","."),"-",",")</f>
        <v>1.248.512,54</v>
      </c>
      <c r="K1621" s="2"/>
    </row>
    <row r="1622" spans="1:11" ht="126" x14ac:dyDescent="0.25">
      <c r="A1622" s="1" t="str">
        <f>"200/2014"</f>
        <v>200/2014</v>
      </c>
      <c r="B1622" s="1" t="s">
        <v>14</v>
      </c>
      <c r="C1622" s="1" t="s">
        <v>2771</v>
      </c>
      <c r="D1622" s="1" t="str">
        <f>CONCATENATE("2256-2013-EMV",CHAR(10),"2013/S 002-0094537  od 18.11.2013.ispravak objave 2013/S-014-0095333 od 20.11.2013, ispravak objave 2014/S 014-0003237 od 24.01.2014.")</f>
        <v>2256-2013-EMV
2013/S 002-0094537  od 18.11.2013.ispravak objave 2013/S-014-0095333 od 20.11.2013, ispravak objave 2014/S 014-0003237 od 24.01.2014.</v>
      </c>
      <c r="E1622" s="1" t="s">
        <v>15</v>
      </c>
      <c r="F1622" s="1" t="str">
        <f>"120.000,00"</f>
        <v>120.000,00</v>
      </c>
      <c r="G1622" s="1" t="str">
        <f>CONCATENATE("15.05.2014.",CHAR(10),"8 mjeseci")</f>
        <v>15.05.2014.
8 mjeseci</v>
      </c>
      <c r="H1622" s="1" t="str">
        <f>CONCATENATE("1. Zajednica ponuditelja: ",CHAR(10),"    OIKON D.O.O., ZAGREB",CHAR(10),"    CE I GEKOM GEOFIZIKALNO I EKOLOŠKO MODELIRANJE D.O.O., ZAGREB")</f>
        <v>1. Zajednica ponuditelja: 
    OIKON D.O.O., ZAGREB
    CE I GEKOM GEOFIZIKALNO I EKOLOŠKO MODELIRANJE D.O.O., ZAGREB</v>
      </c>
      <c r="I1622" s="1" t="s">
        <v>314</v>
      </c>
      <c r="J1622" s="1" t="str">
        <f>SUBSTITUTE(SUBSTITUTE(SUBSTITUTE("150,000.00",".","-"),",","."),"-",",")</f>
        <v>150.000,00</v>
      </c>
      <c r="K1622" s="2"/>
    </row>
    <row r="1623" spans="1:11" ht="63" x14ac:dyDescent="0.25">
      <c r="A1623" s="1" t="str">
        <f>"201/2014"</f>
        <v>201/2014</v>
      </c>
      <c r="B1623" s="1" t="s">
        <v>26</v>
      </c>
      <c r="C1623" s="1" t="s">
        <v>2772</v>
      </c>
      <c r="D1623" s="1" t="str">
        <f>"774-2012-EMV"</f>
        <v>774-2012-EMV</v>
      </c>
      <c r="E1623" s="2"/>
      <c r="F1623" s="1" t="str">
        <f>"269.400,00"</f>
        <v>269.400,00</v>
      </c>
      <c r="G1623" s="1" t="str">
        <f>CONCATENATE("14.05.2014.",CHAR(10),"1 godina")</f>
        <v>14.05.2014.
1 godina</v>
      </c>
      <c r="H1623" s="1" t="str">
        <f>CONCATENATE("HIDROSTRES D.O.O., ZAGREB")</f>
        <v>HIDROSTRES D.O.O., ZAGREB</v>
      </c>
      <c r="I1623" s="2"/>
      <c r="J1623" s="1"/>
      <c r="K1623" s="2"/>
    </row>
    <row r="1624" spans="1:11" ht="47.25" x14ac:dyDescent="0.25">
      <c r="A1624" s="1" t="str">
        <f>"202/2014"</f>
        <v>202/2014</v>
      </c>
      <c r="B1624" s="1" t="s">
        <v>14</v>
      </c>
      <c r="C1624" s="1" t="s">
        <v>2773</v>
      </c>
      <c r="D1624" s="1" t="str">
        <f>CONCATENATE("1137-2013-EMV",CHAR(10),"2013/S 002-0039064 od 26.04.2013.")</f>
        <v>1137-2013-EMV
2013/S 002-0039064 od 26.04.2013.</v>
      </c>
      <c r="E1624" s="1" t="s">
        <v>15</v>
      </c>
      <c r="F1624" s="1" t="str">
        <f>"916.604,34"</f>
        <v>916.604,34</v>
      </c>
      <c r="G1624" s="1" t="str">
        <f>CONCATENATE("16.05.2014.",CHAR(10),"10 mjeseci računajući od dana uvođenja u posao")</f>
        <v>16.05.2014.
10 mjeseci računajući od dana uvođenja u posao</v>
      </c>
      <c r="H1624" s="1" t="str">
        <f>CONCATENATE("1. Zajednica ponuditelja: ",CHAR(10),"    ALTE GRADNJA D.O.O., VUKOVAR",CHAR(10),"    OSLIK, VL. DUŠKO PEŠUT, ČEPIN")</f>
        <v>1. Zajednica ponuditelja: 
    ALTE GRADNJA D.O.O., VUKOVAR
    OSLIK, VL. DUŠKO PEŠUT, ČEPIN</v>
      </c>
      <c r="I1624" s="2"/>
      <c r="J1624" s="1"/>
      <c r="K1624" s="2"/>
    </row>
    <row r="1625" spans="1:11" ht="47.25" x14ac:dyDescent="0.25">
      <c r="A1625" s="1" t="str">
        <f>"203/2014"</f>
        <v>203/2014</v>
      </c>
      <c r="B1625" s="1" t="s">
        <v>14</v>
      </c>
      <c r="C1625" s="1" t="s">
        <v>2774</v>
      </c>
      <c r="D1625" s="1" t="str">
        <f>CONCATENATE("1143-2013-EMV",CHAR(10),"2013/S 002-0037135 od 22.04.2014.")</f>
        <v>1143-2013-EMV
2013/S 002-0037135 od 22.04.2014.</v>
      </c>
      <c r="E1625" s="1" t="s">
        <v>15</v>
      </c>
      <c r="F1625" s="1" t="str">
        <f>"1.789.542,27"</f>
        <v>1.789.542,27</v>
      </c>
      <c r="G1625" s="1" t="str">
        <f>CONCATENATE("15.05.2014.",CHAR(10),"12 mjeseci računajući od dana uvođenja u posao")</f>
        <v>15.05.2014.
12 mjeseci računajući od dana uvođenja u posao</v>
      </c>
      <c r="H1625" s="1" t="str">
        <f>CONCATENATE("HEDOM D.O.O., ZAGREB")</f>
        <v>HEDOM D.O.O., ZAGREB</v>
      </c>
      <c r="I1625" s="2"/>
      <c r="J1625" s="1"/>
      <c r="K1625" s="2"/>
    </row>
    <row r="1626" spans="1:11" ht="47.25" x14ac:dyDescent="0.25">
      <c r="A1626" s="1" t="str">
        <f>"204/2014"</f>
        <v>204/2014</v>
      </c>
      <c r="B1626" s="1" t="s">
        <v>14</v>
      </c>
      <c r="C1626" s="1" t="s">
        <v>2775</v>
      </c>
      <c r="D1626" s="1" t="str">
        <f>CONCATENATE("1142-2013-EMV",CHAR(10),"2013/S-002-0034063 od 12.04.2014.")</f>
        <v>1142-2013-EMV
2013/S-002-0034063 od 12.04.2014.</v>
      </c>
      <c r="E1626" s="1" t="s">
        <v>15</v>
      </c>
      <c r="F1626" s="1" t="str">
        <f>"377.217,17"</f>
        <v>377.217,17</v>
      </c>
      <c r="G1626" s="1" t="str">
        <f>CONCATENATE("15.05.2014.",CHAR(10),"6 mjeseci od dana uvođenja u posao")</f>
        <v>15.05.2014.
6 mjeseci od dana uvođenja u posao</v>
      </c>
      <c r="H1626" s="1" t="str">
        <f>CONCATENATE("1. Zajednica ponuditelja: ",CHAR(10),"    TA-GRAD D.O.O., ZAGREB",CHAR(10),"    TERRACOTTA D.O.O., ZAGREB")</f>
        <v>1. Zajednica ponuditelja: 
    TA-GRAD D.O.O., ZAGREB
    TERRACOTTA D.O.O., ZAGREB</v>
      </c>
      <c r="I1626" s="1" t="s">
        <v>580</v>
      </c>
      <c r="J1626" s="1" t="str">
        <f>SUBSTITUTE(SUBSTITUTE(SUBSTITUTE("469,793.55",".","-"),",","."),"-",",")</f>
        <v>469.793,55</v>
      </c>
      <c r="K1626" s="2"/>
    </row>
    <row r="1627" spans="1:11" ht="47.25" x14ac:dyDescent="0.25">
      <c r="A1627" s="1" t="str">
        <f>"205/2014"</f>
        <v>205/2014</v>
      </c>
      <c r="B1627" s="1" t="s">
        <v>14</v>
      </c>
      <c r="C1627" s="1" t="s">
        <v>2776</v>
      </c>
      <c r="D1627" s="1" t="str">
        <f>CONCATENATE("436-2014-EMV",CHAR(10),"2014/S 015-0021501 od 28.04.2014.")</f>
        <v>436-2014-EMV
2014/S 015-0021501 od 28.04.2014.</v>
      </c>
      <c r="E1627" s="1" t="s">
        <v>12</v>
      </c>
      <c r="F1627" s="1" t="str">
        <f>"302.708,03"</f>
        <v>302.708,03</v>
      </c>
      <c r="G1627" s="1" t="str">
        <f>CONCATENATE("15.05.2014.",CHAR(10),"odmah nakon obostranog potpisa ovog ugovora")</f>
        <v>15.05.2014.
odmah nakon obostranog potpisa ovog ugovora</v>
      </c>
      <c r="H1627" s="1" t="str">
        <f>CONCATENATE("ALFA D.D. ZA IZDAVAČKE, GRAFIČKE I TRGOVAČKE POSLOVE, ZAGREB")</f>
        <v>ALFA D.D. ZA IZDAVAČKE, GRAFIČKE I TRGOVAČKE POSLOVE, ZAGREB</v>
      </c>
      <c r="I1627" s="1" t="s">
        <v>319</v>
      </c>
      <c r="J1627" s="1" t="str">
        <f>SUBSTITUTE(SUBSTITUTE(SUBSTITUTE("317,843.43",".","-"),",","."),"-",",")</f>
        <v>317.843,43</v>
      </c>
      <c r="K1627" s="2"/>
    </row>
    <row r="1628" spans="1:11" ht="47.25" x14ac:dyDescent="0.25">
      <c r="A1628" s="1" t="str">
        <f>"A-59/2014"</f>
        <v>A-59/2014</v>
      </c>
      <c r="B1628" s="1" t="s">
        <v>11</v>
      </c>
      <c r="C1628" s="1" t="s">
        <v>581</v>
      </c>
      <c r="D1628" s="1" t="str">
        <f>"740-2012-EMV"</f>
        <v>740-2012-EMV</v>
      </c>
      <c r="E1628" s="2"/>
      <c r="F1628" s="1" t="str">
        <f>"0,00"</f>
        <v>0,00</v>
      </c>
      <c r="G1628" s="1" t="str">
        <f>CONCATENATE("15.05.2014.",CHAR(10),"1.8.2014")</f>
        <v>15.05.2014.
1.8.2014</v>
      </c>
      <c r="H1628" s="1" t="str">
        <f>CONCATENATE("1. Zajednica ponuditelja: ",CHAR(10),"    TA-GRAD D.O.O., ZAGREB",CHAR(10),"    TERRACOTTA D.O.O., ZAGREB")</f>
        <v>1. Zajednica ponuditelja: 
    TA-GRAD D.O.O., ZAGREB
    TERRACOTTA D.O.O., ZAGREB</v>
      </c>
      <c r="I1628" s="2"/>
      <c r="J1628" s="1"/>
      <c r="K1628" s="2"/>
    </row>
    <row r="1629" spans="1:11" ht="47.25" x14ac:dyDescent="0.25">
      <c r="A1629" s="1" t="str">
        <f>"206/2014"</f>
        <v>206/2014</v>
      </c>
      <c r="B1629" s="1" t="s">
        <v>14</v>
      </c>
      <c r="C1629" s="1" t="s">
        <v>582</v>
      </c>
      <c r="D1629" s="1" t="str">
        <f>CONCATENATE("434-2014-EMV",CHAR(10),"2014/S 015-0021537 od 28.04.2014.")</f>
        <v>434-2014-EMV
2014/S 015-0021537 od 28.04.2014.</v>
      </c>
      <c r="E1629" s="1" t="s">
        <v>12</v>
      </c>
      <c r="F1629" s="1" t="str">
        <f>"791.676,60"</f>
        <v>791.676,60</v>
      </c>
      <c r="G1629" s="1" t="str">
        <f>CONCATENATE("19.05.2014.",CHAR(10),"odmah po obostranom potpisu ugovora")</f>
        <v>19.05.2014.
odmah po obostranom potpisu ugovora</v>
      </c>
      <c r="H1629" s="1" t="str">
        <f>CONCATENATE("ŠKOLSKA KNJIGA D.D., ZAGREB")</f>
        <v>ŠKOLSKA KNJIGA D.D., ZAGREB</v>
      </c>
      <c r="I1629" s="1" t="s">
        <v>583</v>
      </c>
      <c r="J1629" s="1" t="str">
        <f>SUBSTITUTE(SUBSTITUTE(SUBSTITUTE("830,160.94",".","-"),",","."),"-",",")</f>
        <v>830.160,94</v>
      </c>
      <c r="K1629" s="2"/>
    </row>
    <row r="1630" spans="1:11" ht="47.25" x14ac:dyDescent="0.25">
      <c r="A1630" s="1" t="str">
        <f>"207/2014"</f>
        <v>207/2014</v>
      </c>
      <c r="B1630" s="1" t="s">
        <v>14</v>
      </c>
      <c r="C1630" s="1" t="s">
        <v>584</v>
      </c>
      <c r="D1630" s="1" t="str">
        <f>CONCATENATE("1311-2014-EMV",CHAR(10),"2014/S 002-0011739 od 10.03.2014.")</f>
        <v>1311-2014-EMV
2014/S 002-0011739 od 10.03.2014.</v>
      </c>
      <c r="E1630" s="1" t="s">
        <v>15</v>
      </c>
      <c r="F1630" s="1" t="str">
        <f>"3.565.072,00"</f>
        <v>3.565.072,00</v>
      </c>
      <c r="G1630" s="1" t="str">
        <f>CONCATENATE("20.05.2014.",CHAR(10),"90 dana od dana uvođenja u posao")</f>
        <v>20.05.2014.
90 dana od dana uvođenja u posao</v>
      </c>
      <c r="H1630" s="1" t="str">
        <f>CONCATENATE("GIP PIONIR D.O.O., ZAGREB")</f>
        <v>GIP PIONIR D.O.O., ZAGREB</v>
      </c>
      <c r="I1630" s="2"/>
      <c r="J1630" s="1"/>
      <c r="K1630" s="2"/>
    </row>
    <row r="1631" spans="1:11" ht="47.25" x14ac:dyDescent="0.25">
      <c r="A1631" s="1" t="str">
        <f>"208/2014"</f>
        <v>208/2014</v>
      </c>
      <c r="B1631" s="1" t="s">
        <v>26</v>
      </c>
      <c r="C1631" s="1" t="s">
        <v>585</v>
      </c>
      <c r="D1631" s="1" t="str">
        <f>"2895-2013-EVV"</f>
        <v>2895-2013-EVV</v>
      </c>
      <c r="E1631" s="2"/>
      <c r="F1631" s="1" t="str">
        <f>"1.739.700,00"</f>
        <v>1.739.700,00</v>
      </c>
      <c r="G1631" s="1" t="str">
        <f>CONCATENATE("21.05.2014.",CHAR(10),"1 godina")</f>
        <v>21.05.2014.
1 godina</v>
      </c>
      <c r="H1631" s="1" t="str">
        <f>CONCATENATE("OMEGA SOFTWARE D.O.O., ZAGREB-SLOBOŠTINA")</f>
        <v>OMEGA SOFTWARE D.O.O., ZAGREB-SLOBOŠTINA</v>
      </c>
      <c r="I1631" s="2"/>
      <c r="J1631" s="1"/>
      <c r="K1631" s="2"/>
    </row>
    <row r="1632" spans="1:11" ht="78.75" x14ac:dyDescent="0.25">
      <c r="A1632" s="1" t="str">
        <f>"209/2014"</f>
        <v>209/2014</v>
      </c>
      <c r="B1632" s="1" t="s">
        <v>136</v>
      </c>
      <c r="C1632" s="1" t="s">
        <v>2777</v>
      </c>
      <c r="D1632" s="1" t="str">
        <f>CONCATENATE("482-2013-EVV",CHAR(10),"2014/S 002-0000698 od 09.01.2014., te ispravak 2014/S 014-0001790 od 09.01.2014.")</f>
        <v>482-2013-EVV
2014/S 002-0000698 od 09.01.2014., te ispravak 2014/S 014-0001790 od 09.01.2014.</v>
      </c>
      <c r="E1632" s="1" t="s">
        <v>366</v>
      </c>
      <c r="F1632" s="1" t="str">
        <f>"3.576.779,00"</f>
        <v>3.576.779,00</v>
      </c>
      <c r="G1632" s="1" t="str">
        <f>CONCATENATE("21.05.2014.",CHAR(10),"4 godine")</f>
        <v>21.05.2014.
4 godine</v>
      </c>
      <c r="H1632" s="1" t="str">
        <f>CONCATENATE("AGRO-VIR D.O.O., ZAGREB",CHAR(10),"DILJEXPORT D.O.O., ZAGREB")</f>
        <v>AGRO-VIR D.O.O., ZAGREB
DILJEXPORT D.O.O., ZAGREB</v>
      </c>
      <c r="I1632" s="2"/>
      <c r="J1632" s="1"/>
      <c r="K1632" s="2"/>
    </row>
    <row r="1633" spans="1:11" ht="220.5" x14ac:dyDescent="0.25">
      <c r="A1633" s="1" t="str">
        <f>"210/2014"</f>
        <v>210/2014</v>
      </c>
      <c r="B1633" s="1" t="s">
        <v>14</v>
      </c>
      <c r="C1633" s="1" t="s">
        <v>586</v>
      </c>
      <c r="D1633" s="1" t="str">
        <f>CONCATENATE("1261-2014-EMV",CHAR(10),"2014/S 002-0008799 od 21.02.2014.")</f>
        <v>1261-2014-EMV
2014/S 002-0008799 od 21.02.2014.</v>
      </c>
      <c r="E1633" s="1" t="s">
        <v>15</v>
      </c>
      <c r="F1633" s="1" t="str">
        <f>"618.400,00"</f>
        <v>618.400,00</v>
      </c>
      <c r="G1633" s="1" t="str">
        <f>CONCATENATE("21.05.2014.",CHAR(10),"90 dana")</f>
        <v>21.05.2014.
90 dana</v>
      </c>
      <c r="H1633" s="1" t="str">
        <f>CONCATENATE("1. Zajednica ponuditelja: ",CHAR(10),"    HPNJ+ D.O.O., ZAGREB",CHAR(10),"    PROJEKTNI BIRO NAGLIĆ D.O.O., ZAGREB",CHAR(10),"    ZEM NADZOR D.O.O., ZAGREB",CHAR(10),"    TODING D.O.O., ZAGREB",CHAR(10),"    PROMET I PROSTOR D.O.O., ZAGREB",CHAR(10),"    GEODETIKA D.O.O., ZAGREB",CHAR(10),"2. PROJEKTNI BIRO NAGLIĆ D.O.O., ZAGREB",CHAR(10),"3. ZEM NADZOR D.O.O., ZAGREB",CHAR(10),"4. TODING D.O.O., ZAGREB",CHAR(10),"5. PROMET I PROSTOR D.O.O., ZAGREB",CHAR(10),"6. GEODETIKA D.O.O., ZAGREB")</f>
        <v>1. Zajednica ponuditelja: 
    HPNJ+ D.O.O., ZAGREB
    PROJEKTNI BIRO NAGLIĆ D.O.O., ZAGREB
    ZEM NADZOR D.O.O., ZAGREB
    TODING D.O.O., ZAGREB
    PROMET I PROSTOR D.O.O., ZAGREB
    GEODETIKA D.O.O., ZAGREB
2. PROJEKTNI BIRO NAGLIĆ D.O.O., ZAGREB
3. ZEM NADZOR D.O.O., ZAGREB
4. TODING D.O.O., ZAGREB
5. PROMET I PROSTOR D.O.O., ZAGREB
6. GEODETIKA D.O.O., ZAGREB</v>
      </c>
      <c r="I1633" s="2"/>
      <c r="J1633" s="1"/>
      <c r="K1633" s="2"/>
    </row>
    <row r="1634" spans="1:11" ht="63" x14ac:dyDescent="0.25">
      <c r="A1634" s="1" t="str">
        <f>"211/2014"</f>
        <v>211/2014</v>
      </c>
      <c r="B1634" s="1" t="s">
        <v>14</v>
      </c>
      <c r="C1634" s="1" t="s">
        <v>587</v>
      </c>
      <c r="D1634" s="1" t="str">
        <f>CONCATENATE("1335-2014-EMV",CHAR(10),"2014/S 015-0022856 od 07.05.2014.")</f>
        <v>1335-2014-EMV
2014/S 015-0022856 od 07.05.2014.</v>
      </c>
      <c r="E1634" s="1" t="s">
        <v>12</v>
      </c>
      <c r="F1634" s="1" t="str">
        <f>"5.250.793,92"</f>
        <v>5.250.793,92</v>
      </c>
      <c r="G1634" s="1" t="str">
        <f>CONCATENATE("21.05.2014.",CHAR(10),"60 dana od dana uvođenja u posao")</f>
        <v>21.05.2014.
60 dana od dana uvođenja u posao</v>
      </c>
      <c r="H1634" s="1" t="str">
        <f>CONCATENATE("SWIETELSKY D.O.O., ZAGREB")</f>
        <v>SWIETELSKY D.O.O., ZAGREB</v>
      </c>
      <c r="I1634" s="1" t="s">
        <v>352</v>
      </c>
      <c r="J1634" s="1" t="str">
        <f>SUBSTITUTE(SUBSTITUTE(SUBSTITUTE("6,549,395.65",".","-"),",","."),"-",",")</f>
        <v>6.549.395,65</v>
      </c>
      <c r="K1634" s="2"/>
    </row>
    <row r="1635" spans="1:11" ht="31.5" x14ac:dyDescent="0.25">
      <c r="A1635" s="1" t="str">
        <f>"212/2014"</f>
        <v>212/2014</v>
      </c>
      <c r="B1635" s="1" t="s">
        <v>26</v>
      </c>
      <c r="C1635" s="1" t="s">
        <v>588</v>
      </c>
      <c r="D1635" s="1" t="str">
        <f>"2891-2013-EVV"</f>
        <v>2891-2013-EVV</v>
      </c>
      <c r="E1635" s="2"/>
      <c r="F1635" s="1" t="str">
        <f>"3.941.400,00"</f>
        <v>3.941.400,00</v>
      </c>
      <c r="G1635" s="1" t="str">
        <f>CONCATENATE("21.05.2014.",CHAR(10),"1 godina")</f>
        <v>21.05.2014.
1 godina</v>
      </c>
      <c r="H1635" s="1" t="str">
        <f>CONCATENATE("OMEGA SOFTWARE D.O.O., ZAGREB-SLOBOŠTINA")</f>
        <v>OMEGA SOFTWARE D.O.O., ZAGREB-SLOBOŠTINA</v>
      </c>
      <c r="I1635" s="2"/>
      <c r="J1635" s="1"/>
      <c r="K1635" s="2"/>
    </row>
    <row r="1636" spans="1:11" ht="63" x14ac:dyDescent="0.25">
      <c r="A1636" s="1" t="str">
        <f>"A-61/2014"</f>
        <v>A-61/2014</v>
      </c>
      <c r="B1636" s="1" t="s">
        <v>11</v>
      </c>
      <c r="C1636" s="1" t="s">
        <v>589</v>
      </c>
      <c r="D1636" s="1" t="str">
        <f>"2527-2012-EMV"</f>
        <v>2527-2012-EMV</v>
      </c>
      <c r="E1636" s="2"/>
      <c r="F1636" s="1" t="str">
        <f>"0,00"</f>
        <v>0,00</v>
      </c>
      <c r="G1636" s="1" t="str">
        <f>CONCATENATE("22.05.2014.",CHAR(10)," 31. prosinca 2014.")</f>
        <v>22.05.2014.
 31. prosinca 2014.</v>
      </c>
      <c r="H1636" s="1" t="str">
        <f>CONCATENATE("PGT ŠKUNCA D.O.O., ZAGREB-SUSEDGRAD")</f>
        <v>PGT ŠKUNCA D.O.O., ZAGREB-SUSEDGRAD</v>
      </c>
      <c r="I1636" s="2"/>
      <c r="J1636" s="1"/>
      <c r="K1636" s="2"/>
    </row>
    <row r="1637" spans="1:11" ht="63" x14ac:dyDescent="0.25">
      <c r="A1637" s="1" t="str">
        <f>"A-62/2014"</f>
        <v>A-62/2014</v>
      </c>
      <c r="B1637" s="1" t="s">
        <v>11</v>
      </c>
      <c r="C1637" s="1" t="s">
        <v>590</v>
      </c>
      <c r="D1637" s="1" t="str">
        <f>"2297-2013-EVV"</f>
        <v>2297-2013-EVV</v>
      </c>
      <c r="E1637" s="2"/>
      <c r="F1637" s="1" t="str">
        <f>"0,00"</f>
        <v>0,00</v>
      </c>
      <c r="G1637" s="1" t="str">
        <f>CONCATENATE("15.05.2014.",CHAR(10),"19. svibnja 2014.")</f>
        <v>15.05.2014.
19. svibnja 2014.</v>
      </c>
      <c r="H1637" s="1" t="str">
        <f>CONCATENATE("MEDIKA  D.D., ZAGREB")</f>
        <v>MEDIKA  D.D., ZAGREB</v>
      </c>
      <c r="I1637" s="2"/>
      <c r="J1637" s="1"/>
      <c r="K1637" s="2"/>
    </row>
    <row r="1638" spans="1:11" ht="47.25" x14ac:dyDescent="0.25">
      <c r="A1638" s="1" t="str">
        <f>"213/2014"</f>
        <v>213/2014</v>
      </c>
      <c r="B1638" s="1" t="s">
        <v>14</v>
      </c>
      <c r="C1638" s="1" t="s">
        <v>591</v>
      </c>
      <c r="D1638" s="1" t="str">
        <f>CONCATENATE("311-2014-EMV",CHAR(10),"2014/S 015-0023470 od 09.05.2014.")</f>
        <v>311-2014-EMV
2014/S 015-0023470 od 09.05.2014.</v>
      </c>
      <c r="E1638" s="1" t="s">
        <v>12</v>
      </c>
      <c r="F1638" s="1" t="str">
        <f>"559.768,68"</f>
        <v>559.768,68</v>
      </c>
      <c r="G1638" s="1" t="str">
        <f>CONCATENATE("22.05.2014.",CHAR(10),"60 dana od dana uvođenja u posao")</f>
        <v>22.05.2014.
60 dana od dana uvođenja u posao</v>
      </c>
      <c r="H1638" s="1" t="str">
        <f>CONCATENATE("HM-PATRIA D.O.O., ZAGREB")</f>
        <v>HM-PATRIA D.O.O., ZAGREB</v>
      </c>
      <c r="I1638" s="1" t="s">
        <v>441</v>
      </c>
      <c r="J1638" s="1" t="str">
        <f>SUBSTITUTE(SUBSTITUTE(SUBSTITUTE("699,389.53",".","-"),",","."),"-",",")</f>
        <v>699.389,53</v>
      </c>
      <c r="K1638" s="2"/>
    </row>
    <row r="1639" spans="1:11" ht="47.25" x14ac:dyDescent="0.25">
      <c r="A1639" s="1" t="str">
        <f>"214/2014"</f>
        <v>214/2014</v>
      </c>
      <c r="B1639" s="1" t="s">
        <v>14</v>
      </c>
      <c r="C1639" s="1" t="s">
        <v>2778</v>
      </c>
      <c r="D1639" s="1" t="str">
        <f>CONCATENATE("1151-2013-EMV",CHAR(10),"2013/S 002-0053576 od 13.06.2013.")</f>
        <v>1151-2013-EMV
2013/S 002-0053576 od 13.06.2013.</v>
      </c>
      <c r="E1639" s="1" t="s">
        <v>15</v>
      </c>
      <c r="F1639" s="1" t="str">
        <f>"556.952,25"</f>
        <v>556.952,25</v>
      </c>
      <c r="G1639" s="1" t="str">
        <f>CONCATENATE("23.05.2014.",CHAR(10),"10 mjeseci od dana uvođenja u posao")</f>
        <v>23.05.2014.
10 mjeseci od dana uvođenja u posao</v>
      </c>
      <c r="H1639" s="1" t="str">
        <f>CONCATENATE("TEH-GRADNJA D.O.O., ZAGREB")</f>
        <v>TEH-GRADNJA D.O.O., ZAGREB</v>
      </c>
      <c r="I1639" s="2"/>
      <c r="J1639" s="1"/>
      <c r="K1639" s="2"/>
    </row>
    <row r="1640" spans="1:11" ht="47.25" x14ac:dyDescent="0.25">
      <c r="A1640" s="1" t="str">
        <f>"215/2014"</f>
        <v>215/2014</v>
      </c>
      <c r="B1640" s="1" t="s">
        <v>14</v>
      </c>
      <c r="C1640" s="1" t="s">
        <v>2779</v>
      </c>
      <c r="D1640" s="1" t="str">
        <f>CONCATENATE("1146-2013-EMV",CHAR(10),"2013/S 002-0039022 od 26.04.2014.")</f>
        <v>1146-2013-EMV
2013/S 002-0039022 od 26.04.2014.</v>
      </c>
      <c r="E1640" s="1" t="s">
        <v>15</v>
      </c>
      <c r="F1640" s="1" t="str">
        <f>"1.073.903,64"</f>
        <v>1.073.903,64</v>
      </c>
      <c r="G1640" s="1" t="str">
        <f>CONCATENATE("23.05.2014.",CHAR(10),"12 mjeseci od dana uvođenja u posao")</f>
        <v>23.05.2014.
12 mjeseci od dana uvođenja u posao</v>
      </c>
      <c r="H1640" s="1" t="str">
        <f>CONCATENATE("TEH-GRADNJA D.O.O., ZAGREB")</f>
        <v>TEH-GRADNJA D.O.O., ZAGREB</v>
      </c>
      <c r="I1640" s="2"/>
      <c r="J1640" s="1"/>
      <c r="K1640" s="2"/>
    </row>
    <row r="1641" spans="1:11" ht="47.25" x14ac:dyDescent="0.25">
      <c r="A1641" s="1" t="str">
        <f>"216/2014"</f>
        <v>216/2014</v>
      </c>
      <c r="B1641" s="1" t="s">
        <v>136</v>
      </c>
      <c r="C1641" s="1" t="s">
        <v>592</v>
      </c>
      <c r="D1641" s="1" t="str">
        <f>CONCATENATE("245-2014-EVV",CHAR(10),"2014/S-002-0011995 od 11.03.2014.")</f>
        <v>245-2014-EVV
2014/S-002-0011995 od 11.03.2014.</v>
      </c>
      <c r="E1641" s="1" t="s">
        <v>366</v>
      </c>
      <c r="F1641" s="1" t="str">
        <f>"5.149.833,00"</f>
        <v>5.149.833,00</v>
      </c>
      <c r="G1641" s="1" t="str">
        <f>CONCATENATE("23.05.2014.",CHAR(10),"3 godine")</f>
        <v>23.05.2014.
3 godine</v>
      </c>
      <c r="H1641" s="1" t="str">
        <f>CONCATENATE("COMPING D.O.O., ZAGREB")</f>
        <v>COMPING D.O.O., ZAGREB</v>
      </c>
      <c r="I1641" s="2"/>
      <c r="J1641" s="1"/>
      <c r="K1641" s="2"/>
    </row>
    <row r="1642" spans="1:11" ht="47.25" x14ac:dyDescent="0.25">
      <c r="A1642" s="1" t="str">
        <f>"217/2014"</f>
        <v>217/2014</v>
      </c>
      <c r="B1642" s="1" t="s">
        <v>136</v>
      </c>
      <c r="C1642" s="1" t="s">
        <v>2780</v>
      </c>
      <c r="D1642" s="1" t="str">
        <f>CONCATENATE("488-2014-EVV",CHAR(10),"2014/S 002-0010356 od 03.03.2014.")</f>
        <v>488-2014-EVV
2014/S 002-0010356 od 03.03.2014.</v>
      </c>
      <c r="E1642" s="1" t="s">
        <v>366</v>
      </c>
      <c r="F1642" s="1" t="str">
        <f>"5.986.000,00"</f>
        <v>5.986.000,00</v>
      </c>
      <c r="G1642" s="1" t="str">
        <f>CONCATENATE("26.05.2014.",CHAR(10),"2 godine")</f>
        <v>26.05.2014.
2 godine</v>
      </c>
      <c r="H1642" s="1" t="str">
        <f>CONCATENATE("1. Zajednica ponuditelja: ",CHAR(10),"    EKO-DERATIZACIJA D.O.O., ZAGREB",CHAR(10),"    SANITACIJA D.O.O., ZAGREB")</f>
        <v>1. Zajednica ponuditelja: 
    EKO-DERATIZACIJA D.O.O., ZAGREB
    SANITACIJA D.O.O., ZAGREB</v>
      </c>
      <c r="I1642" s="2"/>
      <c r="J1642" s="1"/>
      <c r="K1642" s="2"/>
    </row>
    <row r="1643" spans="1:11" ht="47.25" x14ac:dyDescent="0.25">
      <c r="A1643" s="1" t="str">
        <f>"A-63/2014"</f>
        <v>A-63/2014</v>
      </c>
      <c r="B1643" s="1" t="s">
        <v>11</v>
      </c>
      <c r="C1643" s="1" t="s">
        <v>593</v>
      </c>
      <c r="D1643" s="1" t="str">
        <f>"770-2012-EMV"</f>
        <v>770-2012-EMV</v>
      </c>
      <c r="E1643" s="2"/>
      <c r="F1643" s="1" t="str">
        <f>"0,00"</f>
        <v>0,00</v>
      </c>
      <c r="G1643" s="1" t="str">
        <f>CONCATENATE("23.05.2014.",CHAR(10),"02.08.2014")</f>
        <v>23.05.2014.
02.08.2014</v>
      </c>
      <c r="H1643" s="1" t="str">
        <f>CONCATENATE("STUDIO ARHING D.O.O., ZAGREB")</f>
        <v>STUDIO ARHING D.O.O., ZAGREB</v>
      </c>
      <c r="I1643" s="2"/>
      <c r="J1643" s="1"/>
      <c r="K1643" s="2"/>
    </row>
    <row r="1644" spans="1:11" ht="47.25" x14ac:dyDescent="0.25">
      <c r="A1644" s="1" t="str">
        <f>"A-64/2014"</f>
        <v>A-64/2014</v>
      </c>
      <c r="B1644" s="1" t="s">
        <v>11</v>
      </c>
      <c r="C1644" s="1" t="s">
        <v>594</v>
      </c>
      <c r="D1644" s="1" t="str">
        <f>"337-2013-EMV"</f>
        <v>337-2013-EMV</v>
      </c>
      <c r="E1644" s="2"/>
      <c r="F1644" s="1" t="str">
        <f>"0,00"</f>
        <v>0,00</v>
      </c>
      <c r="G1644" s="1" t="str">
        <f>CONCATENATE("23.05.2014.",CHAR(10),"14  mjeseci")</f>
        <v>23.05.2014.
14  mjeseci</v>
      </c>
      <c r="H1644" s="1" t="str">
        <f>CONCATENATE("MUZEJ GRADA ZAGREBA, ZAGREB")</f>
        <v>MUZEJ GRADA ZAGREBA, ZAGREB</v>
      </c>
      <c r="I1644" s="2"/>
      <c r="J1644" s="1"/>
      <c r="K1644" s="2"/>
    </row>
    <row r="1645" spans="1:11" ht="47.25" x14ac:dyDescent="0.25">
      <c r="A1645" s="1" t="str">
        <f>"219/2014"</f>
        <v>219/2014</v>
      </c>
      <c r="B1645" s="1" t="s">
        <v>14</v>
      </c>
      <c r="C1645" s="1" t="s">
        <v>595</v>
      </c>
      <c r="D1645" s="1" t="str">
        <f>CONCATENATE("1719-2014-EMV",CHAR(10),"2014/S 015-0023816 od 13.05.2014.")</f>
        <v>1719-2014-EMV
2014/S 015-0023816 od 13.05.2014.</v>
      </c>
      <c r="E1645" s="1" t="s">
        <v>12</v>
      </c>
      <c r="F1645" s="1" t="str">
        <f>"1.125.000,00"</f>
        <v>1.125.000,00</v>
      </c>
      <c r="G1645" s="1" t="str">
        <f>CONCATENATE("26.05.2014.",CHAR(10),"31.12.2014")</f>
        <v>26.05.2014.
31.12.2014</v>
      </c>
      <c r="H1645" s="1" t="str">
        <f>CONCATENATE("MEDIJSKA MREŽA D.O.O., ZAGREB")</f>
        <v>MEDIJSKA MREŽA D.O.O., ZAGREB</v>
      </c>
      <c r="I1645" s="1" t="s">
        <v>502</v>
      </c>
      <c r="J1645" s="1" t="str">
        <f>SUBSTITUTE(SUBSTITUTE(SUBSTITUTE("1,406,250.25",".","-"),",","."),"-",",")</f>
        <v>1.406.250,25</v>
      </c>
      <c r="K1645" s="2"/>
    </row>
    <row r="1646" spans="1:11" ht="78.75" x14ac:dyDescent="0.25">
      <c r="A1646" s="1" t="str">
        <f>"222/2014"</f>
        <v>222/2014</v>
      </c>
      <c r="B1646" s="1" t="s">
        <v>14</v>
      </c>
      <c r="C1646" s="1" t="s">
        <v>596</v>
      </c>
      <c r="D1646" s="1" t="str">
        <f>CONCATENATE("1418-2014-EMV",CHAR(10),"2014/S 002-0011821 od 10.03.2014.")</f>
        <v>1418-2014-EMV
2014/S 002-0011821 od 10.03.2014.</v>
      </c>
      <c r="E1646" s="1" t="s">
        <v>15</v>
      </c>
      <c r="F1646" s="1" t="str">
        <f>"173.000,00"</f>
        <v>173.000,00</v>
      </c>
      <c r="G1646" s="1" t="str">
        <f>CONCATENATE("28.05.2014.",CHAR(10),"12 mjeseci")</f>
        <v>28.05.2014.
12 mjeseci</v>
      </c>
      <c r="H1646" s="1" t="str">
        <f>CONCATENATE("GRADITELJ SVRATIŠTA D.O.O., ZAGREB")</f>
        <v>GRADITELJ SVRATIŠTA D.O.O., ZAGREB</v>
      </c>
      <c r="I1646" s="2"/>
      <c r="J1646" s="1"/>
      <c r="K1646" s="2"/>
    </row>
    <row r="1647" spans="1:11" ht="63" x14ac:dyDescent="0.25">
      <c r="A1647" s="1" t="str">
        <f>"223/2014"</f>
        <v>223/2014</v>
      </c>
      <c r="B1647" s="1" t="s">
        <v>14</v>
      </c>
      <c r="C1647" s="1" t="s">
        <v>597</v>
      </c>
      <c r="D1647" s="1" t="str">
        <f>CONCATENATE("1352-2014-EMV",CHAR(10),"2014/S-002-0011819 od 10.03.2014.")</f>
        <v>1352-2014-EMV
2014/S-002-0011819 od 10.03.2014.</v>
      </c>
      <c r="E1647" s="1" t="s">
        <v>15</v>
      </c>
      <c r="F1647" s="1" t="str">
        <f>"312.347,00"</f>
        <v>312.347,00</v>
      </c>
      <c r="G1647" s="1" t="str">
        <f>CONCATENATE("28.05.2014.",CHAR(10),"45 dana od dana uvođenja u posao")</f>
        <v>28.05.2014.
45 dana od dana uvođenja u posao</v>
      </c>
      <c r="H1647" s="1" t="str">
        <f>CONCATENATE("1. Zajednica ponuditelja: ",CHAR(10),"    AMB GRADNJA D.O.O., ZAGREB",CHAR(10),"    GEOFORMAT D.O.O., ZAGREB",CHAR(10),"    ZAŠTITA ATEST D.O.O., ZAGREB")</f>
        <v>1. Zajednica ponuditelja: 
    AMB GRADNJA D.O.O., ZAGREB
    GEOFORMAT D.O.O., ZAGREB
    ZAŠTITA ATEST D.O.O., ZAGREB</v>
      </c>
      <c r="I1647" s="1" t="s">
        <v>443</v>
      </c>
      <c r="J1647" s="1" t="str">
        <f>SUBSTITUTE(SUBSTITUTE(SUBSTITUTE("389,724.20",".","-"),",","."),"-",",")</f>
        <v>389.724,20</v>
      </c>
      <c r="K1647" s="2"/>
    </row>
    <row r="1648" spans="1:11" ht="47.25" x14ac:dyDescent="0.25">
      <c r="A1648" s="1" t="str">
        <f>"224/2014"</f>
        <v>224/2014</v>
      </c>
      <c r="B1648" s="1" t="s">
        <v>14</v>
      </c>
      <c r="C1648" s="1" t="s">
        <v>2781</v>
      </c>
      <c r="D1648" s="1" t="str">
        <f>CONCATENATE("1189-2013-EVV",CHAR(10),"2013/S 002-0100311 od 10.12.2013.")</f>
        <v>1189-2013-EVV
2013/S 002-0100311 od 10.12.2013.</v>
      </c>
      <c r="E1648" s="1" t="s">
        <v>15</v>
      </c>
      <c r="F1648" s="1" t="str">
        <f>"1.965.019,50"</f>
        <v>1.965.019,50</v>
      </c>
      <c r="G1648" s="1" t="str">
        <f>CONCATENATE("28.05.2014.",CHAR(10),"12 mjeseci")</f>
        <v>28.05.2014.
12 mjeseci</v>
      </c>
      <c r="H1648" s="1" t="str">
        <f>CONCATENATE("LIPAPROMET D.O.O., ZAGREB")</f>
        <v>LIPAPROMET D.O.O., ZAGREB</v>
      </c>
      <c r="I1648" s="2"/>
      <c r="J1648" s="1"/>
      <c r="K1648" s="2"/>
    </row>
    <row r="1649" spans="1:11" ht="63" x14ac:dyDescent="0.25">
      <c r="A1649" s="1" t="str">
        <f>"225/2014"</f>
        <v>225/2014</v>
      </c>
      <c r="B1649" s="1" t="s">
        <v>14</v>
      </c>
      <c r="C1649" s="1" t="s">
        <v>2782</v>
      </c>
      <c r="D1649" s="1" t="str">
        <f>CONCATENATE("2868-2013-EMV",CHAR(10),"2013/S 002-0103932 od 27.12.2013.")</f>
        <v>2868-2013-EMV
2013/S 002-0103932 od 27.12.2013.</v>
      </c>
      <c r="E1649" s="1" t="s">
        <v>15</v>
      </c>
      <c r="F1649" s="1" t="str">
        <f>"421.905,74"</f>
        <v>421.905,74</v>
      </c>
      <c r="G1649" s="1" t="str">
        <f>CONCATENATE("03.06.2014.",CHAR(10),"60 dana od dana uvođenja u posao")</f>
        <v>03.06.2014.
60 dana od dana uvođenja u posao</v>
      </c>
      <c r="H1649" s="1" t="str">
        <f>CONCATENATE("1. Zajednica ponuditelja: ",CHAR(10),"    PUGAR D.O.O., VELIKA GORICA",CHAR(10),"    GEOMETAR D.O.O., ZAGREB",CHAR(10),"    JURČIĆ INVEST D.O.O., ZAGREB")</f>
        <v>1. Zajednica ponuditelja: 
    PUGAR D.O.O., VELIKA GORICA
    GEOMETAR D.O.O., ZAGREB
    JURČIĆ INVEST D.O.O., ZAGREB</v>
      </c>
      <c r="I1649" s="2"/>
      <c r="J1649" s="1"/>
      <c r="K1649" s="2"/>
    </row>
    <row r="1650" spans="1:11" ht="47.25" x14ac:dyDescent="0.25">
      <c r="A1650" s="1" t="str">
        <f>"A-65/2014"</f>
        <v>A-65/2014</v>
      </c>
      <c r="B1650" s="1" t="s">
        <v>11</v>
      </c>
      <c r="C1650" s="1" t="s">
        <v>598</v>
      </c>
      <c r="D1650" s="1" t="str">
        <f>"2568-2012-EMV"</f>
        <v>2568-2012-EMV</v>
      </c>
      <c r="E1650" s="2"/>
      <c r="F1650" s="1" t="str">
        <f>"0,00"</f>
        <v>0,00</v>
      </c>
      <c r="G1650" s="1" t="str">
        <f>CONCATENATE("02.06.2014.",CHAR(10),"31.12.2014.")</f>
        <v>02.06.2014.
31.12.2014.</v>
      </c>
      <c r="H1650" s="1" t="str">
        <f>CONCATENATE("HEP-OPERATOR DISTRIBUCIJSKOG SUSTAVA D.O.O., ZAGREB")</f>
        <v>HEP-OPERATOR DISTRIBUCIJSKOG SUSTAVA D.O.O., ZAGREB</v>
      </c>
      <c r="I1650" s="2"/>
      <c r="J1650" s="1"/>
      <c r="K1650" s="2"/>
    </row>
    <row r="1651" spans="1:11" ht="47.25" x14ac:dyDescent="0.25">
      <c r="A1651" s="1" t="str">
        <f>"226/2014"</f>
        <v>226/2014</v>
      </c>
      <c r="B1651" s="1" t="s">
        <v>14</v>
      </c>
      <c r="C1651" s="1" t="s">
        <v>599</v>
      </c>
      <c r="D1651" s="1" t="str">
        <f>CONCATENATE("800-2014-EBV",CHAR(10),"2014/S 015-0024495 od 16.05.2014.")</f>
        <v>800-2014-EBV
2014/S 015-0024495 od 16.05.2014.</v>
      </c>
      <c r="E1651" s="1" t="s">
        <v>12</v>
      </c>
      <c r="F1651" s="1" t="str">
        <f>"100.000,00"</f>
        <v>100.000,00</v>
      </c>
      <c r="G1651" s="1" t="str">
        <f>CONCATENATE("03.06.2014.",CHAR(10),"3 mjeseca od dana uvođenja u posao")</f>
        <v>03.06.2014.
3 mjeseca od dana uvođenja u posao</v>
      </c>
      <c r="H1651" s="1" t="str">
        <f>CONCATENATE("1. Zajednica ponuditelja: ",CHAR(10),"    TA-GRAD D.O.O., ZAGREB",CHAR(10),"    TERRACOTTA D.O.O., ZAGREB")</f>
        <v>1. Zajednica ponuditelja: 
    TA-GRAD D.O.O., ZAGREB
    TERRACOTTA D.O.O., ZAGREB</v>
      </c>
      <c r="I1651" s="2"/>
      <c r="J1651" s="1"/>
      <c r="K1651" s="2"/>
    </row>
    <row r="1652" spans="1:11" ht="63" x14ac:dyDescent="0.25">
      <c r="A1652" s="1" t="str">
        <f>"A-66/2014"</f>
        <v>A-66/2014</v>
      </c>
      <c r="B1652" s="1" t="s">
        <v>11</v>
      </c>
      <c r="C1652" s="1" t="s">
        <v>600</v>
      </c>
      <c r="D1652" s="1" t="str">
        <f>"389-2012-EMV"</f>
        <v>389-2012-EMV</v>
      </c>
      <c r="E1652" s="2"/>
      <c r="F1652" s="1" t="str">
        <f>"0,00"</f>
        <v>0,00</v>
      </c>
      <c r="G1652" s="1" t="str">
        <f>CONCATENATE("03.06.2014.",CHAR(10),"do sklapanja novog ugovora nakon provedenog postupka javne nabave")</f>
        <v>03.06.2014.
do sklapanja novog ugovora nakon provedenog postupka javne nabave</v>
      </c>
      <c r="H1652" s="1" t="str">
        <f>CONCATENATE("SOKOL MARIĆ D.O.O., ZAGREB")</f>
        <v>SOKOL MARIĆ D.O.O., ZAGREB</v>
      </c>
      <c r="I1652" s="2"/>
      <c r="J1652" s="1"/>
      <c r="K1652" s="2"/>
    </row>
    <row r="1653" spans="1:11" ht="63" x14ac:dyDescent="0.25">
      <c r="A1653" s="1" t="str">
        <f>"A-67/2014"</f>
        <v>A-67/2014</v>
      </c>
      <c r="B1653" s="1" t="s">
        <v>11</v>
      </c>
      <c r="C1653" s="1" t="s">
        <v>601</v>
      </c>
      <c r="D1653" s="1" t="str">
        <f>"389-2012-EMV"</f>
        <v>389-2012-EMV</v>
      </c>
      <c r="E1653" s="2"/>
      <c r="F1653" s="1" t="str">
        <f>"0,00"</f>
        <v>0,00</v>
      </c>
      <c r="G1653" s="1" t="str">
        <f>CONCATENATE("03.06.2014.",CHAR(10),"do sklapanja novog ugovora nakon provedenog postupka javne nabave")</f>
        <v>03.06.2014.
do sklapanja novog ugovora nakon provedenog postupka javne nabave</v>
      </c>
      <c r="H1653" s="1" t="str">
        <f>CONCATENATE("SOKOL MARIĆ D.O.O., ZAGREB")</f>
        <v>SOKOL MARIĆ D.O.O., ZAGREB</v>
      </c>
      <c r="I1653" s="2"/>
      <c r="J1653" s="1"/>
      <c r="K1653" s="2"/>
    </row>
    <row r="1654" spans="1:11" ht="63" x14ac:dyDescent="0.25">
      <c r="A1654" s="1" t="str">
        <f>"A-68/2014"</f>
        <v>A-68/2014</v>
      </c>
      <c r="B1654" s="1" t="s">
        <v>11</v>
      </c>
      <c r="C1654" s="1" t="s">
        <v>602</v>
      </c>
      <c r="D1654" s="1" t="str">
        <f>"389-2012-EMV"</f>
        <v>389-2012-EMV</v>
      </c>
      <c r="E1654" s="2"/>
      <c r="F1654" s="1" t="str">
        <f>"0,00"</f>
        <v>0,00</v>
      </c>
      <c r="G1654" s="1" t="str">
        <f>CONCATENATE("03.06.2014.",CHAR(10),"do sklapanja novog ugovora nakon provedenog postupka javne nabave")</f>
        <v>03.06.2014.
do sklapanja novog ugovora nakon provedenog postupka javne nabave</v>
      </c>
      <c r="H1654" s="1" t="str">
        <f>CONCATENATE("SOKOL MARIĆ D.O.O., ZAGREB")</f>
        <v>SOKOL MARIĆ D.O.O., ZAGREB</v>
      </c>
      <c r="I1654" s="2"/>
      <c r="J1654" s="1"/>
      <c r="K1654" s="2"/>
    </row>
    <row r="1655" spans="1:11" ht="47.25" x14ac:dyDescent="0.25">
      <c r="A1655" s="1" t="str">
        <f>"228/2014"</f>
        <v>228/2014</v>
      </c>
      <c r="B1655" s="1" t="s">
        <v>14</v>
      </c>
      <c r="C1655" s="1" t="s">
        <v>603</v>
      </c>
      <c r="D1655" s="1" t="str">
        <f>CONCATENATE("1230-2014-EMV",CHAR(10),"2014/S 002-0009350 od 25.02.2014.")</f>
        <v>1230-2014-EMV
2014/S 002-0009350 od 25.02.2014.</v>
      </c>
      <c r="E1655" s="1" t="s">
        <v>15</v>
      </c>
      <c r="F1655" s="1" t="str">
        <f>"292.535,00"</f>
        <v>292.535,00</v>
      </c>
      <c r="G1655" s="1" t="str">
        <f>CONCATENATE("04.06.2014.",CHAR(10),"4 mjeseca od dana uvođenja u posao")</f>
        <v>04.06.2014.
4 mjeseca od dana uvođenja u posao</v>
      </c>
      <c r="H1655" s="1" t="str">
        <f>CONCATENATE("MEŠIĆ COM D.O.O., ZAGREB")</f>
        <v>MEŠIĆ COM D.O.O., ZAGREB</v>
      </c>
      <c r="I1655" s="2"/>
      <c r="J1655" s="1"/>
      <c r="K1655" s="2"/>
    </row>
    <row r="1656" spans="1:11" ht="78.75" x14ac:dyDescent="0.25">
      <c r="A1656" s="1" t="str">
        <f>"229/2014"</f>
        <v>229/2014</v>
      </c>
      <c r="B1656" s="1" t="s">
        <v>14</v>
      </c>
      <c r="C1656" s="1" t="s">
        <v>604</v>
      </c>
      <c r="D1656" s="1" t="str">
        <f>CONCATENATE("1301-2014-EMV",CHAR(10),"2014/S 002-0009294od 25.2.2014 ispravak objave 2014/S 014-0011298 od 06.03.2014.")</f>
        <v>1301-2014-EMV
2014/S 002-0009294od 25.2.2014 ispravak objave 2014/S 014-0011298 od 06.03.2014.</v>
      </c>
      <c r="E1656" s="1" t="s">
        <v>15</v>
      </c>
      <c r="F1656" s="1" t="str">
        <f>"73.800,00"</f>
        <v>73.800,00</v>
      </c>
      <c r="G1656" s="1" t="str">
        <f>CONCATENATE("04.06.2014.",CHAR(10),"7 mjeseci")</f>
        <v>04.06.2014.
7 mjeseci</v>
      </c>
      <c r="H1656" s="1" t="str">
        <f>CONCATENATE("1. Zajednica ponuditelja: ",CHAR(10),"    KOPIMA D.O.O, ZAGREB",CHAR(10),"    MGV D.O.O., ZAGREB",CHAR(10),"    PROJEKTNI BIRO NAGLIĆ D.O.O., ZAGREB")</f>
        <v>1. Zajednica ponuditelja: 
    KOPIMA D.O.O, ZAGREB
    MGV D.O.O., ZAGREB
    PROJEKTNI BIRO NAGLIĆ D.O.O., ZAGREB</v>
      </c>
      <c r="I1656" s="2"/>
      <c r="J1656" s="1"/>
      <c r="K1656" s="2"/>
    </row>
    <row r="1657" spans="1:11" ht="110.25" x14ac:dyDescent="0.25">
      <c r="A1657" s="1" t="str">
        <f>"230/2014"</f>
        <v>230/2014</v>
      </c>
      <c r="B1657" s="1" t="s">
        <v>14</v>
      </c>
      <c r="C1657" s="1" t="s">
        <v>605</v>
      </c>
      <c r="D1657" s="1" t="str">
        <f>CONCATENATE("1299-2014-EMV",CHAR(10),"2014/S-002-0010999 od 5. 3.2014. ispravak objave 2014/S 014-0012137 od 11.3.2014. ispravak objave  2014/S 014-0013215 od 17.03.2014.")</f>
        <v>1299-2014-EMV
2014/S-002-0010999 od 5. 3.2014. ispravak objave 2014/S 014-0012137 od 11.3.2014. ispravak objave  2014/S 014-0013215 od 17.03.2014.</v>
      </c>
      <c r="E1657" s="1" t="s">
        <v>15</v>
      </c>
      <c r="F1657" s="1" t="str">
        <f>"3.969.611,86"</f>
        <v>3.969.611,86</v>
      </c>
      <c r="G1657" s="1" t="str">
        <f>CONCATENATE("04.06.2014.",CHAR(10),"6 mjeseci od dana uvođenja u posao")</f>
        <v>04.06.2014.
6 mjeseci od dana uvođenja u posao</v>
      </c>
      <c r="H1657" s="1" t="str">
        <f>CONCATENATE("1. Zajednica ponuditelja: ",CHAR(10),"    M. SOLDO D.O.O., ZAGREB",CHAR(10),"    COLAS HRVATSKA D.D., VARAŽDIN",CHAR(10),"    STIPE LUCIĆ KAMENARSKI CENTAR I KLESARSTVO, OBRT ZA OBLIKOVANJE I UGRADNJU KAMENA, VL. BERNARD LUCIĆ, SAMOBOR")</f>
        <v>1. Zajednica ponuditelja: 
    M. SOLDO D.O.O., ZAGREB
    COLAS HRVATSKA D.D., VARAŽDIN
    STIPE LUCIĆ KAMENARSKI CENTAR I KLESARSTVO, OBRT ZA OBLIKOVANJE I UGRADNJU KAMENA, VL. BERNARD LUCIĆ, SAMOBOR</v>
      </c>
      <c r="I1657" s="2"/>
      <c r="J1657" s="1"/>
      <c r="K1657" s="2"/>
    </row>
    <row r="1658" spans="1:11" ht="47.25" x14ac:dyDescent="0.25">
      <c r="A1658" s="1" t="str">
        <f>"231/2014"</f>
        <v>231/2014</v>
      </c>
      <c r="B1658" s="1" t="s">
        <v>136</v>
      </c>
      <c r="C1658" s="1" t="s">
        <v>606</v>
      </c>
      <c r="D1658" s="1" t="str">
        <f>CONCATENATE("2014-425",CHAR(10),"2014/S 002-0018116 od 07.04.2014.")</f>
        <v>2014-425
2014/S 002-0018116 od 07.04.2014.</v>
      </c>
      <c r="E1658" s="1" t="s">
        <v>366</v>
      </c>
      <c r="F1658" s="1" t="str">
        <f>"2.308.667,50"</f>
        <v>2.308.667,50</v>
      </c>
      <c r="G1658" s="1" t="str">
        <f>CONCATENATE("28.05.2014.",CHAR(10),"2 godine")</f>
        <v>28.05.2014.
2 godine</v>
      </c>
      <c r="H1658" s="1" t="str">
        <f>CONCATENATE("MB SERVIS, SAMOBOR")</f>
        <v>MB SERVIS, SAMOBOR</v>
      </c>
      <c r="I1658" s="2"/>
      <c r="J1658" s="1"/>
      <c r="K1658" s="1" t="s">
        <v>607</v>
      </c>
    </row>
    <row r="1659" spans="1:11" ht="47.25" x14ac:dyDescent="0.25">
      <c r="A1659" s="1" t="str">
        <f>"232/2014"</f>
        <v>232/2014</v>
      </c>
      <c r="B1659" s="1" t="s">
        <v>14</v>
      </c>
      <c r="C1659" s="1" t="s">
        <v>608</v>
      </c>
      <c r="D1659" s="1" t="str">
        <f>CONCATENATE("2014-2163",CHAR(10),"2014/S 002-0017690 od 04.04.2014.")</f>
        <v>2014-2163
2014/S 002-0017690 od 04.04.2014.</v>
      </c>
      <c r="E1659" s="1" t="s">
        <v>15</v>
      </c>
      <c r="F1659" s="1" t="str">
        <f>"998.400,00"</f>
        <v>998.400,00</v>
      </c>
      <c r="G1659" s="1" t="str">
        <f>CONCATENATE("27.05.2014.",CHAR(10),"35 dana")</f>
        <v>27.05.2014.
35 dana</v>
      </c>
      <c r="H1659" s="1" t="str">
        <f>CONCATENATE("WAWA D.O.O., SAMOBOR")</f>
        <v>WAWA D.O.O., SAMOBOR</v>
      </c>
      <c r="I1659" s="1" t="s">
        <v>536</v>
      </c>
      <c r="J1659" s="1" t="str">
        <f>SUBSTITUTE(SUBSTITUTE(SUBSTITUTE("1,003,484.07",".","-"),",","."),"-",",")</f>
        <v>1.003.484,07</v>
      </c>
      <c r="K1659" s="1" t="s">
        <v>607</v>
      </c>
    </row>
    <row r="1660" spans="1:11" ht="47.25" x14ac:dyDescent="0.25">
      <c r="A1660" s="1" t="str">
        <f>"234/2014"</f>
        <v>234/2014</v>
      </c>
      <c r="B1660" s="1" t="s">
        <v>14</v>
      </c>
      <c r="C1660" s="1" t="s">
        <v>2783</v>
      </c>
      <c r="D1660" s="1" t="str">
        <f>CONCATENATE("253-2014-EMV",CHAR(10),"2014/S-002-0017177 od 02.04.2014.")</f>
        <v>253-2014-EMV
2014/S-002-0017177 od 02.04.2014.</v>
      </c>
      <c r="E1660" s="1" t="s">
        <v>15</v>
      </c>
      <c r="F1660" s="1" t="str">
        <f>"339.399,50"</f>
        <v>339.399,50</v>
      </c>
      <c r="G1660" s="1" t="str">
        <f>CONCATENATE("06.06.2014.",CHAR(10),"12 mjeseci")</f>
        <v>06.06.2014.
12 mjeseci</v>
      </c>
      <c r="H1660" s="1" t="str">
        <f>CONCATENATE("MULTISOFT D.O.O., ZAGREB")</f>
        <v>MULTISOFT D.O.O., ZAGREB</v>
      </c>
      <c r="I1660" s="2"/>
      <c r="J1660" s="1"/>
      <c r="K1660" s="2"/>
    </row>
    <row r="1661" spans="1:11" ht="47.25" x14ac:dyDescent="0.25">
      <c r="A1661" s="1" t="str">
        <f>"236/2014"</f>
        <v>236/2014</v>
      </c>
      <c r="B1661" s="1" t="s">
        <v>14</v>
      </c>
      <c r="C1661" s="1" t="s">
        <v>609</v>
      </c>
      <c r="D1661" s="1" t="str">
        <f>CONCATENATE("2014-2139",CHAR(10),"2014/S-002-0021339 od 25.04.2014.")</f>
        <v>2014-2139
2014/S-002-0021339 od 25.04.2014.</v>
      </c>
      <c r="E1661" s="1" t="s">
        <v>15</v>
      </c>
      <c r="F1661" s="1" t="str">
        <f>"516.425,00"</f>
        <v>516.425,00</v>
      </c>
      <c r="G1661" s="1" t="str">
        <f>CONCATENATE("09.06.2014.",CHAR(10),"60 dana od dana uvođenja u posao")</f>
        <v>09.06.2014.
60 dana od dana uvođenja u posao</v>
      </c>
      <c r="H1661" s="1" t="str">
        <f>CONCATENATE("1. Zajednica ponuditelja: ",CHAR(10),"    INSTAL-PROM D.O.O., ZAGREB",CHAR(10),"    GEO 6 D.O.O, ZAGREB-SUSEDGRAD")</f>
        <v>1. Zajednica ponuditelja: 
    INSTAL-PROM D.O.O., ZAGREB
    GEO 6 D.O.O, ZAGREB-SUSEDGRAD</v>
      </c>
      <c r="I1661" s="2"/>
      <c r="J1661" s="1"/>
      <c r="K1661" s="1" t="s">
        <v>607</v>
      </c>
    </row>
    <row r="1662" spans="1:11" ht="110.25" x14ac:dyDescent="0.25">
      <c r="A1662" s="1" t="str">
        <f>"237/2014"</f>
        <v>237/2014</v>
      </c>
      <c r="B1662" s="1" t="s">
        <v>14</v>
      </c>
      <c r="C1662" s="1" t="s">
        <v>610</v>
      </c>
      <c r="D1662" s="1" t="str">
        <f>CONCATENATE("2014-2222",CHAR(10),"2014/S-002-0018160 od 7.4.2014 ispravak objave 2014/S 014-0020400 od 18.4.2014; ispravak objave 2014/S 014-0021531 od 28.04.2014.")</f>
        <v>2014-2222
2014/S-002-0018160 od 7.4.2014 ispravak objave 2014/S 014-0020400 od 18.4.2014; ispravak objave 2014/S 014-0021531 od 28.04.2014.</v>
      </c>
      <c r="E1662" s="1" t="s">
        <v>15</v>
      </c>
      <c r="F1662" s="1" t="str">
        <f>"728.639,00"</f>
        <v>728.639,00</v>
      </c>
      <c r="G1662" s="1" t="str">
        <f>CONCATENATE("09.06.2014.",CHAR(10),"30 dana od dana uvođenja u posao")</f>
        <v>09.06.2014.
30 dana od dana uvođenja u posao</v>
      </c>
      <c r="H1662" s="1" t="str">
        <f>CONCATENATE("GEORAD D.O.O., ZAGREB")</f>
        <v>GEORAD D.O.O., ZAGREB</v>
      </c>
      <c r="I1662" s="1" t="s">
        <v>611</v>
      </c>
      <c r="J1662" s="1" t="str">
        <f>SUBSTITUTE(SUBSTITUTE(SUBSTITUTE("910,454.84",".","-"),",","."),"-",",")</f>
        <v>910.454,84</v>
      </c>
      <c r="K1662" s="1" t="s">
        <v>607</v>
      </c>
    </row>
    <row r="1663" spans="1:11" ht="47.25" x14ac:dyDescent="0.25">
      <c r="A1663" s="1" t="str">
        <f>"238/2014"</f>
        <v>238/2014</v>
      </c>
      <c r="B1663" s="1" t="s">
        <v>26</v>
      </c>
      <c r="C1663" s="1" t="s">
        <v>612</v>
      </c>
      <c r="D1663" s="1" t="str">
        <f>"488-2014-EVV"</f>
        <v>488-2014-EVV</v>
      </c>
      <c r="E1663" s="2"/>
      <c r="F1663" s="1" t="str">
        <f>"2.993.000,00"</f>
        <v>2.993.000,00</v>
      </c>
      <c r="G1663" s="1" t="str">
        <f>CONCATENATE("09.06.2014.",CHAR(10),"31.12.2014")</f>
        <v>09.06.2014.
31.12.2014</v>
      </c>
      <c r="H1663" s="1" t="str">
        <f>CONCATENATE("1. Zajednica ponuditelja: ",CHAR(10),"    EKO-DERATIZACIJA D.O.O., ZAGREB",CHAR(10),"    SANITACIJA D.O.O., ZAGREB")</f>
        <v>1. Zajednica ponuditelja: 
    EKO-DERATIZACIJA D.O.O., ZAGREB
    SANITACIJA D.O.O., ZAGREB</v>
      </c>
      <c r="I1663" s="1" t="s">
        <v>270</v>
      </c>
      <c r="J1663" s="1" t="str">
        <f>SUBSTITUTE(SUBSTITUTE(SUBSTITUTE("3,660,849.56",".","-"),",","."),"-",",")</f>
        <v>3.660.849,56</v>
      </c>
      <c r="K1663" s="2"/>
    </row>
    <row r="1664" spans="1:11" ht="47.25" x14ac:dyDescent="0.25">
      <c r="A1664" s="1" t="str">
        <f>"239/2014"</f>
        <v>239/2014</v>
      </c>
      <c r="B1664" s="1" t="s">
        <v>14</v>
      </c>
      <c r="C1664" s="1" t="s">
        <v>613</v>
      </c>
      <c r="D1664" s="1" t="str">
        <f>CONCATENATE("4-2014-EVV",CHAR(10),"2014/S 015-0023797 od 13.05.2014.")</f>
        <v>4-2014-EVV
2014/S 015-0023797 od 13.05.2014.</v>
      </c>
      <c r="E1664" s="1" t="s">
        <v>40</v>
      </c>
      <c r="F1664" s="1" t="str">
        <f>"1.279.220,00"</f>
        <v>1.279.220,00</v>
      </c>
      <c r="G1664" s="1" t="str">
        <f>CONCATENATE("09.06.2014.",CHAR(10),"12 mjeseci")</f>
        <v>09.06.2014.
12 mjeseci</v>
      </c>
      <c r="H1664" s="1" t="str">
        <f>CONCATENATE("KLINIČKA BOLNICA ''SVETI DUH'', ZAGREB")</f>
        <v>KLINIČKA BOLNICA ''SVETI DUH'', ZAGREB</v>
      </c>
      <c r="I1664" s="2"/>
      <c r="J1664" s="1"/>
      <c r="K1664" s="2"/>
    </row>
    <row r="1665" spans="1:11" ht="47.25" x14ac:dyDescent="0.25">
      <c r="A1665" s="1" t="str">
        <f>"241/2014"</f>
        <v>241/2014</v>
      </c>
      <c r="B1665" s="1" t="s">
        <v>14</v>
      </c>
      <c r="C1665" s="1" t="s">
        <v>614</v>
      </c>
      <c r="D1665" s="1" t="str">
        <f>CONCATENATE("2014-80",CHAR(10),"2014/S 002-0013487 od 17.03.2014.")</f>
        <v>2014-80
2014/S 002-0013487 od 17.03.2014.</v>
      </c>
      <c r="E1665" s="1" t="s">
        <v>15</v>
      </c>
      <c r="F1665" s="1" t="str">
        <f>"718.772,84"</f>
        <v>718.772,84</v>
      </c>
      <c r="G1665" s="1" t="str">
        <f>CONCATENATE("06.06.2014.",CHAR(10),"25 dana od dana uvođenja u posao")</f>
        <v>06.06.2014.
25 dana od dana uvođenja u posao</v>
      </c>
      <c r="H1665" s="1" t="str">
        <f>CONCATENATE("GEORAD D.O.O., ZAGREB")</f>
        <v>GEORAD D.O.O., ZAGREB</v>
      </c>
      <c r="I1665" s="2"/>
      <c r="J1665" s="1"/>
      <c r="K1665" s="1" t="s">
        <v>607</v>
      </c>
    </row>
    <row r="1666" spans="1:11" ht="47.25" x14ac:dyDescent="0.25">
      <c r="A1666" s="1" t="str">
        <f>"242/2014"</f>
        <v>242/2014</v>
      </c>
      <c r="B1666" s="1" t="s">
        <v>14</v>
      </c>
      <c r="C1666" s="1" t="s">
        <v>615</v>
      </c>
      <c r="D1666" s="1" t="str">
        <f>CONCATENATE("2014-83",CHAR(10),"2014/S 002-0013496 od 17.03.2014.")</f>
        <v>2014-83
2014/S 002-0013496 od 17.03.2014.</v>
      </c>
      <c r="E1666" s="1" t="s">
        <v>15</v>
      </c>
      <c r="F1666" s="1" t="str">
        <f>"967.634,25"</f>
        <v>967.634,25</v>
      </c>
      <c r="G1666" s="1" t="str">
        <f>CONCATENATE("09.06.2014.",CHAR(10),"30 dana od dana uvođenja u posao")</f>
        <v>09.06.2014.
30 dana od dana uvođenja u posao</v>
      </c>
      <c r="H1666" s="1" t="str">
        <f>CONCATENATE("P.G.P. D.O.O., ZAGREB")</f>
        <v>P.G.P. D.O.O., ZAGREB</v>
      </c>
      <c r="I1666" s="1" t="s">
        <v>616</v>
      </c>
      <c r="J1666" s="1" t="str">
        <f>SUBSTITUTE(SUBSTITUTE(SUBSTITUTE("940,559.25",".","-"),",","."),"-",",")</f>
        <v>940.559,25</v>
      </c>
      <c r="K1666" s="1" t="s">
        <v>607</v>
      </c>
    </row>
    <row r="1667" spans="1:11" ht="47.25" x14ac:dyDescent="0.25">
      <c r="A1667" s="1" t="str">
        <f>"243/2014"</f>
        <v>243/2014</v>
      </c>
      <c r="B1667" s="1" t="s">
        <v>14</v>
      </c>
      <c r="C1667" s="1" t="s">
        <v>617</v>
      </c>
      <c r="D1667" s="1" t="str">
        <f>CONCATENATE("1305-2014-EMV",CHAR(10),"2014/S 002-0014119 od 20.03.2014.")</f>
        <v>1305-2014-EMV
2014/S 002-0014119 od 20.03.2014.</v>
      </c>
      <c r="E1667" s="1" t="s">
        <v>15</v>
      </c>
      <c r="F1667" s="1" t="str">
        <f>"775.320,00"</f>
        <v>775.320,00</v>
      </c>
      <c r="G1667" s="1" t="str">
        <f>CONCATENATE("09.06.2014.",CHAR(10),"45 dana od dana uvođenja u posao")</f>
        <v>09.06.2014.
45 dana od dana uvođenja u posao</v>
      </c>
      <c r="H1667" s="1" t="str">
        <f>CONCATENATE("ŠUŠKOVIĆ-GRAĐENJE D.O.O., ZAGREB")</f>
        <v>ŠUŠKOVIĆ-GRAĐENJE D.O.O., ZAGREB</v>
      </c>
      <c r="I1667" s="2"/>
      <c r="J1667" s="1"/>
      <c r="K1667" s="2"/>
    </row>
    <row r="1668" spans="1:11" ht="47.25" x14ac:dyDescent="0.25">
      <c r="A1668" s="1" t="str">
        <f>"244/2014"</f>
        <v>244/2014</v>
      </c>
      <c r="B1668" s="1" t="s">
        <v>14</v>
      </c>
      <c r="C1668" s="1" t="s">
        <v>618</v>
      </c>
      <c r="D1668" s="1" t="str">
        <f>CONCATENATE("1596-2014-EMV",CHAR(10),"2014/S 002-0013811 od 19.03.2014.")</f>
        <v>1596-2014-EMV
2014/S 002-0013811 od 19.03.2014.</v>
      </c>
      <c r="E1668" s="1" t="s">
        <v>15</v>
      </c>
      <c r="F1668" s="1" t="str">
        <f>"176.990,00"</f>
        <v>176.990,00</v>
      </c>
      <c r="G1668" s="1" t="str">
        <f>CONCATENATE("06.06.2014.",CHAR(10),"5 mjeseci")</f>
        <v>06.06.2014.
5 mjeseci</v>
      </c>
      <c r="H1668" s="1" t="str">
        <f>CONCATENATE("ARHINGTRADE D.O.O., ZAGREB")</f>
        <v>ARHINGTRADE D.O.O., ZAGREB</v>
      </c>
      <c r="I1668" s="2"/>
      <c r="J1668" s="1"/>
      <c r="K1668" s="2"/>
    </row>
    <row r="1669" spans="1:11" ht="47.25" x14ac:dyDescent="0.25">
      <c r="A1669" s="1" t="str">
        <f>"245/2014"</f>
        <v>245/2014</v>
      </c>
      <c r="B1669" s="1" t="s">
        <v>14</v>
      </c>
      <c r="C1669" s="1" t="s">
        <v>2784</v>
      </c>
      <c r="D1669" s="1" t="str">
        <f>CONCATENATE("2751-2013-EMV",CHAR(10),"2013/S 002-0104002 od 27.12.2013.")</f>
        <v>2751-2013-EMV
2013/S 002-0104002 od 27.12.2013.</v>
      </c>
      <c r="E1669" s="1" t="s">
        <v>15</v>
      </c>
      <c r="F1669" s="1" t="str">
        <f>"838.468,00"</f>
        <v>838.468,00</v>
      </c>
      <c r="G1669" s="1" t="str">
        <f>CONCATENATE("06.06.2014.",CHAR(10),"90 dana računajući od dana uvođenja u posao")</f>
        <v>06.06.2014.
90 dana računajući od dana uvođenja u posao</v>
      </c>
      <c r="H1669" s="1" t="str">
        <f>CONCATENATE("MONTEL D.O.O., ZAGREB")</f>
        <v>MONTEL D.O.O., ZAGREB</v>
      </c>
      <c r="I1669" s="2"/>
      <c r="J1669" s="1"/>
      <c r="K1669" s="2"/>
    </row>
    <row r="1670" spans="1:11" ht="47.25" x14ac:dyDescent="0.25">
      <c r="A1670" s="1" t="str">
        <f>"246/2014"</f>
        <v>246/2014</v>
      </c>
      <c r="B1670" s="1" t="s">
        <v>14</v>
      </c>
      <c r="C1670" s="1" t="s">
        <v>619</v>
      </c>
      <c r="D1670" s="1" t="str">
        <f>CONCATENATE("1602-2014-EMV",CHAR(10),"2014/S 002-0011666 od 10.03.2014.")</f>
        <v>1602-2014-EMV
2014/S 002-0011666 od 10.03.2014.</v>
      </c>
      <c r="E1670" s="1" t="s">
        <v>15</v>
      </c>
      <c r="F1670" s="1" t="str">
        <f>"960.000,00"</f>
        <v>960.000,00</v>
      </c>
      <c r="G1670" s="1" t="str">
        <f>CONCATENATE("06.06.2014.",CHAR(10),"31.3.2015")</f>
        <v>06.06.2014.
31.3.2015</v>
      </c>
      <c r="H1670" s="1" t="str">
        <f>CONCATENATE("INSTITUT ZA MEDICINSKA ISTRAŽIVANJA I MEDICINU RADA, ZAGREB")</f>
        <v>INSTITUT ZA MEDICINSKA ISTRAŽIVANJA I MEDICINU RADA, ZAGREB</v>
      </c>
      <c r="I1670" s="1" t="s">
        <v>620</v>
      </c>
      <c r="J1670" s="1" t="str">
        <f>SUBSTITUTE(SUBSTITUTE(SUBSTITUTE("1,200,000.00",".","-"),",","."),"-",",")</f>
        <v>1.200.000,00</v>
      </c>
      <c r="K1670" s="2"/>
    </row>
    <row r="1671" spans="1:11" ht="126" x14ac:dyDescent="0.25">
      <c r="A1671" s="1" t="str">
        <f>"A-69/2014"</f>
        <v>A-69/2014</v>
      </c>
      <c r="B1671" s="1" t="s">
        <v>11</v>
      </c>
      <c r="C1671" s="1" t="s">
        <v>621</v>
      </c>
      <c r="D1671" s="1" t="str">
        <f>"2272-2013-EMV"</f>
        <v>2272-2013-EMV</v>
      </c>
      <c r="E1671" s="2"/>
      <c r="F1671" s="1" t="str">
        <f>"537.187,52"</f>
        <v>537.187,52</v>
      </c>
      <c r="G1671" s="1" t="str">
        <f>"09.06.2014."</f>
        <v>09.06.2014.</v>
      </c>
      <c r="H1671" s="1" t="str">
        <f>CONCATENATE("1. Zajednica ponuditelja: ",CHAR(10),"    STIPE LUCIĆ KAMENARSKI CENTAR I KLESARSTVO, OBRT ZA OBLIKOVANJE I UGRADNJU KAMENA, VL. BERNARD LUCIĆ, SAMOBOR",CHAR(10),"    NISKOGRADNJA D.O.O., KARLOVAC",CHAR(10),"    MGV D.O.O., ZAGREB")</f>
        <v>1. Zajednica ponuditelja: 
    STIPE LUCIĆ KAMENARSKI CENTAR I KLESARSTVO, OBRT ZA OBLIKOVANJE I UGRADNJU KAMENA, VL. BERNARD LUCIĆ, SAMOBOR
    NISKOGRADNJA D.O.O., KARLOVAC
    MGV D.O.O., ZAGREB</v>
      </c>
      <c r="I1671" s="2"/>
      <c r="J1671" s="1"/>
      <c r="K1671" s="2"/>
    </row>
    <row r="1672" spans="1:11" ht="47.25" x14ac:dyDescent="0.25">
      <c r="A1672" s="1" t="str">
        <f>"247/2014"</f>
        <v>247/2014</v>
      </c>
      <c r="B1672" s="1" t="s">
        <v>14</v>
      </c>
      <c r="C1672" s="1" t="s">
        <v>622</v>
      </c>
      <c r="D1672" s="1" t="str">
        <f>CONCATENATE("2014-82",CHAR(10),"2014/S 002-0013493 od 17.03.2014.")</f>
        <v>2014-82
2014/S 002-0013493 od 17.03.2014.</v>
      </c>
      <c r="E1672" s="1" t="s">
        <v>15</v>
      </c>
      <c r="F1672" s="1" t="str">
        <f>"2.195.925,69"</f>
        <v>2.195.925,69</v>
      </c>
      <c r="G1672" s="1" t="str">
        <f>CONCATENATE("06.06.2014.",CHAR(10),"50 dana od dana uvođenja u posao")</f>
        <v>06.06.2014.
50 dana od dana uvođenja u posao</v>
      </c>
      <c r="H1672" s="1" t="str">
        <f>CONCATENATE("GTM D.O.O., VELIKA GORICA")</f>
        <v>GTM D.O.O., VELIKA GORICA</v>
      </c>
      <c r="I1672" s="2"/>
      <c r="J1672" s="1"/>
      <c r="K1672" s="1" t="s">
        <v>607</v>
      </c>
    </row>
    <row r="1673" spans="1:11" ht="78.75" x14ac:dyDescent="0.25">
      <c r="A1673" s="1" t="str">
        <f>"248/2014"</f>
        <v>248/2014</v>
      </c>
      <c r="B1673" s="1" t="s">
        <v>14</v>
      </c>
      <c r="C1673" s="1" t="s">
        <v>2785</v>
      </c>
      <c r="D1673" s="1" t="str">
        <f>CONCATENATE("1957-2013-EMV",CHAR(10),"2013/S 002-0094619 od 18.11.2013.")</f>
        <v>1957-2013-EMV
2013/S 002-0094619 od 18.11.2013.</v>
      </c>
      <c r="E1673" s="1" t="s">
        <v>15</v>
      </c>
      <c r="F1673" s="1" t="str">
        <f>"80.000,00"</f>
        <v>80.000,00</v>
      </c>
      <c r="G1673" s="1" t="str">
        <f>CONCATENATE("06.06.2014.",CHAR(10),"12 mjeseci")</f>
        <v>06.06.2014.
12 mjeseci</v>
      </c>
      <c r="H1673" s="1" t="str">
        <f>CONCATENATE("APZ HIDRIA D.O.O., ZAGREB")</f>
        <v>APZ HIDRIA D.O.O., ZAGREB</v>
      </c>
      <c r="I1673" s="2"/>
      <c r="J1673" s="1"/>
      <c r="K1673" s="2"/>
    </row>
    <row r="1674" spans="1:11" ht="63" x14ac:dyDescent="0.25">
      <c r="A1674" s="1" t="str">
        <f>"249/2014"</f>
        <v>249/2014</v>
      </c>
      <c r="B1674" s="1" t="s">
        <v>136</v>
      </c>
      <c r="C1674" s="1" t="s">
        <v>623</v>
      </c>
      <c r="D1674" s="1" t="str">
        <f>CONCATENATE("2014-499",CHAR(10),"2014/S 002-0013023 od 14.03.2014.")</f>
        <v>2014-499
2014/S 002-0013023 od 14.03.2014.</v>
      </c>
      <c r="E1674" s="1" t="s">
        <v>366</v>
      </c>
      <c r="F1674" s="1" t="str">
        <f>"1.747.500,00"</f>
        <v>1.747.500,00</v>
      </c>
      <c r="G1674" s="1" t="str">
        <f>CONCATENATE("06.06.2014.",CHAR(10),"2 godine")</f>
        <v>06.06.2014.
2 godine</v>
      </c>
      <c r="H1674" s="1" t="str">
        <f>CONCATENATE("1. Zajednica ponuditelja: ",CHAR(10),"    KSU D.O.O., VELIKA GORICA",CHAR(10),"    TEHNIČAR-COPYSERVIS D.O.O., ZAGREB")</f>
        <v>1. Zajednica ponuditelja: 
    KSU D.O.O., VELIKA GORICA
    TEHNIČAR-COPYSERVIS D.O.O., ZAGREB</v>
      </c>
      <c r="I1674" s="2"/>
      <c r="J1674" s="1"/>
      <c r="K1674" s="1" t="s">
        <v>607</v>
      </c>
    </row>
    <row r="1675" spans="1:11" ht="47.25" x14ac:dyDescent="0.25">
      <c r="A1675" s="1" t="str">
        <f>"A-70/2014"</f>
        <v>A-70/2014</v>
      </c>
      <c r="B1675" s="1" t="s">
        <v>11</v>
      </c>
      <c r="C1675" s="1" t="s">
        <v>624</v>
      </c>
      <c r="D1675" s="1" t="str">
        <f>"238-2013-EVV"</f>
        <v>238-2013-EVV</v>
      </c>
      <c r="E1675" s="2"/>
      <c r="F1675" s="1" t="str">
        <f>"0,00"</f>
        <v>0,00</v>
      </c>
      <c r="G1675" s="1" t="str">
        <f>"09.06.2014."</f>
        <v>09.06.2014.</v>
      </c>
      <c r="H1675" s="1" t="str">
        <f>CONCATENATE("HRVATSKI TELEKOM D.D., ZAGREB")</f>
        <v>HRVATSKI TELEKOM D.D., ZAGREB</v>
      </c>
      <c r="I1675" s="2"/>
      <c r="J1675" s="1"/>
      <c r="K1675" s="2"/>
    </row>
    <row r="1676" spans="1:11" ht="47.25" x14ac:dyDescent="0.25">
      <c r="A1676" s="1" t="str">
        <f>"250/2014"</f>
        <v>250/2014</v>
      </c>
      <c r="B1676" s="1" t="s">
        <v>136</v>
      </c>
      <c r="C1676" s="1" t="s">
        <v>625</v>
      </c>
      <c r="D1676" s="1" t="str">
        <f>CONCATENATE("2014-929",CHAR(10),"2014/S 002-0018402 od 08.04.2014.")</f>
        <v>2014-929
2014/S 002-0018402 od 08.04.2014.</v>
      </c>
      <c r="E1676" s="1" t="s">
        <v>366</v>
      </c>
      <c r="F1676" s="1" t="str">
        <f>"171.650,00"</f>
        <v>171.650,00</v>
      </c>
      <c r="G1676" s="1" t="str">
        <f>CONCATENATE("09.06.2014.",CHAR(10),"2 godine")</f>
        <v>09.06.2014.
2 godine</v>
      </c>
      <c r="H1676" s="1" t="str">
        <f>CONCATENATE("ELEKTROKEM D.O.O., SESVETE")</f>
        <v>ELEKTROKEM D.O.O., SESVETE</v>
      </c>
      <c r="I1676" s="2"/>
      <c r="J1676" s="1"/>
      <c r="K1676" s="1" t="s">
        <v>607</v>
      </c>
    </row>
    <row r="1677" spans="1:11" ht="63" x14ac:dyDescent="0.25">
      <c r="A1677" s="1" t="str">
        <f>"251/2014"</f>
        <v>251/2014</v>
      </c>
      <c r="B1677" s="1" t="s">
        <v>14</v>
      </c>
      <c r="C1677" s="1" t="s">
        <v>626</v>
      </c>
      <c r="D1677" s="1" t="str">
        <f>CONCATENATE("2014-81",CHAR(10),"2014/S 002-0013495 od 17.02.2014.")</f>
        <v>2014-81
2014/S 002-0013495 od 17.02.2014.</v>
      </c>
      <c r="E1677" s="1" t="s">
        <v>15</v>
      </c>
      <c r="F1677" s="1" t="str">
        <f>"841.917,30"</f>
        <v>841.917,30</v>
      </c>
      <c r="G1677" s="1" t="str">
        <f>CONCATENATE("10.06.2014.",CHAR(10),"28 dana (računajući vikende i blagdane) od dana uvođenja u posao")</f>
        <v>10.06.2014.
28 dana (računajući vikende i blagdane) od dana uvođenja u posao</v>
      </c>
      <c r="H1677" s="1" t="str">
        <f>CONCATENATE("1. Zajednica ponuditelja: ",CHAR(10),"    SITOLOR D.O.O., SLAVONSKI BROD",CHAR(10),"    ŽELEZNIČNE STAVBY, KOŠICE")</f>
        <v>1. Zajednica ponuditelja: 
    SITOLOR D.O.O., SLAVONSKI BROD
    ŽELEZNIČNE STAVBY, KOŠICE</v>
      </c>
      <c r="I1677" s="2"/>
      <c r="J1677" s="1"/>
      <c r="K1677" s="1" t="s">
        <v>607</v>
      </c>
    </row>
    <row r="1678" spans="1:11" ht="47.25" x14ac:dyDescent="0.25">
      <c r="A1678" s="1" t="str">
        <f>"252/2014"</f>
        <v>252/2014</v>
      </c>
      <c r="B1678" s="1" t="s">
        <v>136</v>
      </c>
      <c r="C1678" s="1" t="s">
        <v>627</v>
      </c>
      <c r="D1678" s="1" t="str">
        <f>CONCATENATE("2014-623",CHAR(10),"2014/S 002-0013747 od 18.03.2014.")</f>
        <v>2014-623
2014/S 002-0013747 od 18.03.2014.</v>
      </c>
      <c r="E1678" s="1" t="s">
        <v>366</v>
      </c>
      <c r="F1678" s="1" t="str">
        <f>"16.873.541,00"</f>
        <v>16.873.541,00</v>
      </c>
      <c r="G1678" s="1" t="str">
        <f>CONCATENATE("11.06.2014.",CHAR(10),"2 godine")</f>
        <v>11.06.2014.
2 godine</v>
      </c>
      <c r="H1678" s="1" t="str">
        <f>CONCATENATE("IKOM D.O.O., ZAGREB-SUSEDGRAD")</f>
        <v>IKOM D.O.O., ZAGREB-SUSEDGRAD</v>
      </c>
      <c r="I1678" s="2"/>
      <c r="J1678" s="1"/>
      <c r="K1678" s="1" t="s">
        <v>607</v>
      </c>
    </row>
    <row r="1679" spans="1:11" ht="47.25" x14ac:dyDescent="0.25">
      <c r="A1679" s="1" t="str">
        <f>"253/2014"</f>
        <v>253/2014</v>
      </c>
      <c r="B1679" s="1" t="s">
        <v>14</v>
      </c>
      <c r="C1679" s="1" t="s">
        <v>628</v>
      </c>
      <c r="D1679" s="1" t="str">
        <f>CONCATENATE("528-2014-EMV",CHAR(10),"2014/S 015-0025363 od 21.05.2014.")</f>
        <v>528-2014-EMV
2014/S 015-0025363 od 21.05.2014.</v>
      </c>
      <c r="E1679" s="1" t="s">
        <v>40</v>
      </c>
      <c r="F1679" s="1" t="str">
        <f>"638.095,00"</f>
        <v>638.095,00</v>
      </c>
      <c r="G1679" s="1" t="str">
        <f>CONCATENATE("11.06.2014.",CHAR(10),"12 mjeseci od dana obostranog potpisa ugovora")</f>
        <v>11.06.2014.
12 mjeseci od dana obostranog potpisa ugovora</v>
      </c>
      <c r="H1679" s="1" t="str">
        <f>CONCATENATE("VETERINARSKA STANICA GRADA ZAGREBA D.O.O., ZAGREB")</f>
        <v>VETERINARSKA STANICA GRADA ZAGREBA D.O.O., ZAGREB</v>
      </c>
      <c r="I1679" s="2"/>
      <c r="J1679" s="1"/>
      <c r="K1679" s="2"/>
    </row>
    <row r="1680" spans="1:11" ht="47.25" x14ac:dyDescent="0.25">
      <c r="A1680" s="1" t="str">
        <f>"254/2014"</f>
        <v>254/2014</v>
      </c>
      <c r="B1680" s="1" t="s">
        <v>14</v>
      </c>
      <c r="C1680" s="1" t="s">
        <v>629</v>
      </c>
      <c r="D1680" s="1" t="str">
        <f>CONCATENATE("253-2014-EMV",CHAR(10),"2014/S-002-0017177 od 02.04.2014.")</f>
        <v>253-2014-EMV
2014/S-002-0017177 od 02.04.2014.</v>
      </c>
      <c r="E1680" s="1" t="s">
        <v>15</v>
      </c>
      <c r="F1680" s="1" t="str">
        <f>"859.207,00"</f>
        <v>859.207,00</v>
      </c>
      <c r="G1680" s="1" t="str">
        <f>CONCATENATE("11.06.2014.",CHAR(10),"12 mjeseci od dana obostranog potpisa ugovora")</f>
        <v>11.06.2014.
12 mjeseci od dana obostranog potpisa ugovora</v>
      </c>
      <c r="H1680" s="1" t="str">
        <f>CONCATENATE("GDI GISDATA D.O.O., ZAGREB")</f>
        <v>GDI GISDATA D.O.O., ZAGREB</v>
      </c>
      <c r="I1680" s="2"/>
      <c r="J1680" s="1"/>
      <c r="K1680" s="2"/>
    </row>
    <row r="1681" spans="1:11" ht="78.75" x14ac:dyDescent="0.25">
      <c r="A1681" s="1" t="str">
        <f>"256/2014"</f>
        <v>256/2014</v>
      </c>
      <c r="B1681" s="1" t="s">
        <v>14</v>
      </c>
      <c r="C1681" s="1" t="s">
        <v>630</v>
      </c>
      <c r="D1681" s="1" t="str">
        <f>CONCATENATE("1215-2014-EVV",CHAR(10),"2014/S-002-0007702 17.02.2014 ispravak objave 2014/S 014-0014935 od 24.03.2014.")</f>
        <v>1215-2014-EVV
2014/S-002-0007702 17.02.2014 ispravak objave 2014/S 014-0014935 od 24.03.2014.</v>
      </c>
      <c r="E1681" s="1" t="s">
        <v>15</v>
      </c>
      <c r="F1681" s="1" t="str">
        <f>"1.277.960,00"</f>
        <v>1.277.960,00</v>
      </c>
      <c r="G1681" s="1" t="str">
        <f>CONCATENATE("16.06.2014.",CHAR(10),"Prema pojedinačnim rokovima u odnosu na pojedinačni pisani nalog Naručitelja (čl.5)")</f>
        <v>16.06.2014.
Prema pojedinačnim rokovima u odnosu na pojedinačni pisani nalog Naručitelja (čl.5)</v>
      </c>
      <c r="H1681" s="1" t="str">
        <f>CONCATENATE("1. Zajednica ponuditelja: ",CHAR(10),"    ZAVOD ZA FOTOGRAMETRIJU D.D., ZAGREB",CHAR(10),"    URBANISTICA D.O.O., ZAGREB")</f>
        <v>1. Zajednica ponuditelja: 
    ZAVOD ZA FOTOGRAMETRIJU D.D., ZAGREB
    URBANISTICA D.O.O., ZAGREB</v>
      </c>
      <c r="I1681" s="2"/>
      <c r="J1681" s="1"/>
      <c r="K1681" s="2"/>
    </row>
    <row r="1682" spans="1:11" ht="47.25" x14ac:dyDescent="0.25">
      <c r="A1682" s="1" t="str">
        <f>"257/2014"</f>
        <v>257/2014</v>
      </c>
      <c r="B1682" s="1" t="s">
        <v>14</v>
      </c>
      <c r="C1682" s="1" t="s">
        <v>631</v>
      </c>
      <c r="D1682" s="1" t="str">
        <f>CONCATENATE("1221-2014-EMV",CHAR(10),"2014/S 002-0009896 od 27.02.2014.")</f>
        <v>1221-2014-EMV
2014/S 002-0009896 od 27.02.2014.</v>
      </c>
      <c r="E1682" s="1" t="s">
        <v>15</v>
      </c>
      <c r="F1682" s="1" t="str">
        <f>"644.529,00"</f>
        <v>644.529,00</v>
      </c>
      <c r="G1682" s="1" t="str">
        <f>CONCATENATE("16.06.2014.",CHAR(10),"3 mjeseca od dana uvođenja u posao")</f>
        <v>16.06.2014.
3 mjeseca od dana uvođenja u posao</v>
      </c>
      <c r="H1682" s="1" t="str">
        <f>CONCATENATE("FOTON PROMET D.O.O., SESVETE")</f>
        <v>FOTON PROMET D.O.O., SESVETE</v>
      </c>
      <c r="I1682" s="1" t="s">
        <v>632</v>
      </c>
      <c r="J1682" s="1" t="str">
        <f>SUBSTITUTE(SUBSTITUTE(SUBSTITUTE("805,542.44",".","-"),",","."),"-",",")</f>
        <v>805.542,44</v>
      </c>
      <c r="K1682" s="2"/>
    </row>
    <row r="1683" spans="1:11" ht="47.25" x14ac:dyDescent="0.25">
      <c r="A1683" s="1" t="str">
        <f>"A-71/2014"</f>
        <v>A-71/2014</v>
      </c>
      <c r="B1683" s="1" t="s">
        <v>11</v>
      </c>
      <c r="C1683" s="1" t="s">
        <v>633</v>
      </c>
      <c r="D1683" s="1" t="str">
        <f>"1917-2013-EMV"</f>
        <v>1917-2013-EMV</v>
      </c>
      <c r="E1683" s="2"/>
      <c r="F1683" s="1" t="str">
        <f>"0,00"</f>
        <v>0,00</v>
      </c>
      <c r="G1683" s="1" t="str">
        <f>CONCATENATE("16.06.2014.",CHAR(10),"1. srpnja 2014.")</f>
        <v>16.06.2014.
1. srpnja 2014.</v>
      </c>
      <c r="H1683" s="1" t="str">
        <f>CONCATENATE("SPEKTAR GRADNJA D.O.O., ZAGREB")</f>
        <v>SPEKTAR GRADNJA D.O.O., ZAGREB</v>
      </c>
      <c r="I1683" s="2"/>
      <c r="J1683" s="1"/>
      <c r="K1683" s="2"/>
    </row>
    <row r="1684" spans="1:11" ht="78.75" x14ac:dyDescent="0.25">
      <c r="A1684" s="1" t="str">
        <f>"258/2014"</f>
        <v>258/2014</v>
      </c>
      <c r="B1684" s="1" t="s">
        <v>14</v>
      </c>
      <c r="C1684" s="1" t="s">
        <v>634</v>
      </c>
      <c r="D1684" s="1" t="str">
        <f>CONCATENATE("798-2014-EBV",CHAR(10),"2014/S 015-0027452 od 03.06.2014.")</f>
        <v>798-2014-EBV
2014/S 015-0027452 od 03.06.2014.</v>
      </c>
      <c r="E1684" s="1" t="s">
        <v>12</v>
      </c>
      <c r="F1684" s="1" t="str">
        <f>"70.088,10"</f>
        <v>70.088,10</v>
      </c>
      <c r="G1684" s="1" t="str">
        <f>CONCATENATE("16.06.2014.",CHAR(10),"2 mjeseca od dana uvođenja u posao")</f>
        <v>16.06.2014.
2 mjeseca od dana uvođenja u posao</v>
      </c>
      <c r="H1684" s="1" t="str">
        <f>CONCATENATE("1. Zajednica ponuditelja: ",CHAR(10),"    GRADNJAPROJEKT- ZAGREB D.O.O., ZAGREB",CHAR(10),"    LJEVAONICA UMJETNINA ALU D.O.O., ZAGREB")</f>
        <v>1. Zajednica ponuditelja: 
    GRADNJAPROJEKT- ZAGREB D.O.O., ZAGREB
    LJEVAONICA UMJETNINA ALU D.O.O., ZAGREB</v>
      </c>
      <c r="I1684" s="1" t="s">
        <v>635</v>
      </c>
      <c r="J1684" s="1" t="str">
        <f>SUBSTITUTE(SUBSTITUTE(SUBSTITUTE("87,610.13",".","-"),",","."),"-",",")</f>
        <v>87.610,13</v>
      </c>
      <c r="K1684" s="2"/>
    </row>
    <row r="1685" spans="1:11" ht="78.75" x14ac:dyDescent="0.25">
      <c r="A1685" s="1" t="str">
        <f>"259/2014"</f>
        <v>259/2014</v>
      </c>
      <c r="B1685" s="1" t="s">
        <v>14</v>
      </c>
      <c r="C1685" s="1" t="s">
        <v>636</v>
      </c>
      <c r="D1685" s="1" t="str">
        <f>CONCATENATE("753-2014-EBV",CHAR(10),"2014/S 015-0025846 od 23.05.2014.")</f>
        <v>753-2014-EBV
2014/S 015-0025846 od 23.05.2014.</v>
      </c>
      <c r="E1685" s="1" t="s">
        <v>12</v>
      </c>
      <c r="F1685" s="1" t="str">
        <f>"169.983,00"</f>
        <v>169.983,00</v>
      </c>
      <c r="G1685" s="1" t="str">
        <f>CONCATENATE("16.06.2014.",CHAR(10),"4 mjeseca od dana uvođenja u posao")</f>
        <v>16.06.2014.
4 mjeseca od dana uvođenja u posao</v>
      </c>
      <c r="H1685" s="1" t="str">
        <f>CONCATENATE("1. Zajednica ponuditelja: ",CHAR(10),"    GRADNJAPROJEKT- ZAGREB D.O.O., ZAGREB",CHAR(10),"    LJEVAONICA UMJETNINA ALU D.O.O., ZAGREB")</f>
        <v>1. Zajednica ponuditelja: 
    GRADNJAPROJEKT- ZAGREB D.O.O., ZAGREB
    LJEVAONICA UMJETNINA ALU D.O.O., ZAGREB</v>
      </c>
      <c r="I1685" s="2"/>
      <c r="J1685" s="1"/>
      <c r="K1685" s="2"/>
    </row>
    <row r="1686" spans="1:11" ht="63" x14ac:dyDescent="0.25">
      <c r="A1686" s="1" t="str">
        <f>"260/2014"</f>
        <v>260/2014</v>
      </c>
      <c r="B1686" s="1" t="s">
        <v>14</v>
      </c>
      <c r="C1686" s="1" t="s">
        <v>637</v>
      </c>
      <c r="D1686" s="1" t="str">
        <f>CONCATENATE("1302-2014-EMV",CHAR(10),"2014/S 002-0014732 od 24.03.2014.")</f>
        <v>1302-2014-EMV
2014/S 002-0014732 od 24.03.2014.</v>
      </c>
      <c r="E1686" s="1" t="s">
        <v>15</v>
      </c>
      <c r="F1686" s="1" t="str">
        <f>"128.730,00"</f>
        <v>128.730,00</v>
      </c>
      <c r="G1686" s="1" t="str">
        <f>CONCATENATE("16.06.2014.",CHAR(10),"4 mjeseca od dana obostranog potpisa ugovora")</f>
        <v>16.06.2014.
4 mjeseca od dana obostranog potpisa ugovora</v>
      </c>
      <c r="H1686" s="1" t="str">
        <f>CONCATENATE("1. Zajednica ponuditelja: ",CHAR(10),"    ASCON INSTITUT D.O.O., SESVETE-KRALJEVEC",CHAR(10),"    RAMTECH D.O.O., ZAGREB")</f>
        <v>1. Zajednica ponuditelja: 
    ASCON INSTITUT D.O.O., SESVETE-KRALJEVEC
    RAMTECH D.O.O., ZAGREB</v>
      </c>
      <c r="I1686" s="2"/>
      <c r="J1686" s="1"/>
      <c r="K1686" s="2"/>
    </row>
    <row r="1687" spans="1:11" ht="47.25" x14ac:dyDescent="0.25">
      <c r="A1687" s="1" t="str">
        <f>"261/2014"</f>
        <v>261/2014</v>
      </c>
      <c r="B1687" s="1" t="s">
        <v>136</v>
      </c>
      <c r="C1687" s="1" t="s">
        <v>638</v>
      </c>
      <c r="D1687" s="1" t="str">
        <f>CONCATENATE("2014-86",CHAR(10),"2014/S 002-0018556 od 09.04.2014.")</f>
        <v>2014-86
2014/S 002-0018556 od 09.04.2014.</v>
      </c>
      <c r="E1687" s="1" t="s">
        <v>366</v>
      </c>
      <c r="F1687" s="1" t="str">
        <f>"864.917,00"</f>
        <v>864.917,00</v>
      </c>
      <c r="G1687" s="1" t="str">
        <f>CONCATENATE("16.06.2014.",CHAR(10),"2 godine")</f>
        <v>16.06.2014.
2 godine</v>
      </c>
      <c r="H1687" s="1" t="str">
        <f>CONCATENATE("KATRIN D.O.O., ZAGREB")</f>
        <v>KATRIN D.O.O., ZAGREB</v>
      </c>
      <c r="I1687" s="2"/>
      <c r="J1687" s="1"/>
      <c r="K1687" s="1" t="s">
        <v>607</v>
      </c>
    </row>
    <row r="1688" spans="1:11" ht="47.25" x14ac:dyDescent="0.25">
      <c r="A1688" s="1" t="str">
        <f>"262/2014"</f>
        <v>262/2014</v>
      </c>
      <c r="B1688" s="1" t="s">
        <v>136</v>
      </c>
      <c r="C1688" s="1" t="s">
        <v>639</v>
      </c>
      <c r="D1688" s="1" t="str">
        <f>CONCATENATE("2014-715",CHAR(10),"2014/S 002-0019522 od 15.04.2014.")</f>
        <v>2014-715
2014/S 002-0019522 od 15.04.2014.</v>
      </c>
      <c r="E1688" s="1" t="s">
        <v>366</v>
      </c>
      <c r="F1688" s="1" t="str">
        <f>"273.940,00"</f>
        <v>273.940,00</v>
      </c>
      <c r="G1688" s="1" t="str">
        <f>CONCATENATE("16.06.2014.",CHAR(10),"2 godine")</f>
        <v>16.06.2014.
2 godine</v>
      </c>
      <c r="H1688" s="1" t="str">
        <f>CONCATENATE("DETA PRUT D.O.O., ZAGREB")</f>
        <v>DETA PRUT D.O.O., ZAGREB</v>
      </c>
      <c r="I1688" s="2"/>
      <c r="J1688" s="1"/>
      <c r="K1688" s="1" t="s">
        <v>607</v>
      </c>
    </row>
    <row r="1689" spans="1:11" ht="47.25" x14ac:dyDescent="0.25">
      <c r="A1689" s="1" t="str">
        <f>"263/2014"</f>
        <v>263/2014</v>
      </c>
      <c r="B1689" s="1" t="s">
        <v>136</v>
      </c>
      <c r="C1689" s="1" t="s">
        <v>640</v>
      </c>
      <c r="D1689" s="1" t="str">
        <f>CONCATENATE("2014-153",CHAR(10),"2014/S 002-0012600 od 13.03.2014.")</f>
        <v>2014-153
2014/S 002-0012600 od 13.03.2014.</v>
      </c>
      <c r="E1689" s="1" t="s">
        <v>366</v>
      </c>
      <c r="F1689" s="1" t="str">
        <f>"393.798,00"</f>
        <v>393.798,00</v>
      </c>
      <c r="G1689" s="1" t="str">
        <f>CONCATENATE("16.06.2014.",CHAR(10),"2 godine")</f>
        <v>16.06.2014.
2 godine</v>
      </c>
      <c r="H1689" s="1" t="str">
        <f>CONCATENATE("AGROTUROPOLJE D.O.O., NOVO ČIČE")</f>
        <v>AGROTUROPOLJE D.O.O., NOVO ČIČE</v>
      </c>
      <c r="I1689" s="2"/>
      <c r="J1689" s="1"/>
      <c r="K1689" s="1" t="s">
        <v>607</v>
      </c>
    </row>
    <row r="1690" spans="1:11" ht="47.25" x14ac:dyDescent="0.25">
      <c r="A1690" s="1" t="str">
        <f>"265/2014"</f>
        <v>265/2014</v>
      </c>
      <c r="B1690" s="1" t="s">
        <v>14</v>
      </c>
      <c r="C1690" s="1" t="s">
        <v>641</v>
      </c>
      <c r="D1690" s="1" t="str">
        <f>CONCATENATE("1748-2014-EBV",CHAR(10),"2014/S 015-0027695 od 04.06.2014.")</f>
        <v>1748-2014-EBV
2014/S 015-0027695 od 04.06.2014.</v>
      </c>
      <c r="E1690" s="1" t="s">
        <v>12</v>
      </c>
      <c r="F1690" s="1" t="str">
        <f>"42.000,00"</f>
        <v>42.000,00</v>
      </c>
      <c r="G1690" s="1" t="str">
        <f>CONCATENATE("17.06.2014.",CHAR(10),"Sukladno ponudi izvršitelja od 16.4.2014")</f>
        <v>17.06.2014.
Sukladno ponudi izvršitelja od 16.4.2014</v>
      </c>
      <c r="H1690" s="1" t="str">
        <f>CONCATENATE("GEODETIKA D.O.O., ZAGREB")</f>
        <v>GEODETIKA D.O.O., ZAGREB</v>
      </c>
      <c r="I1690" s="2"/>
      <c r="J1690" s="1"/>
      <c r="K1690" s="2"/>
    </row>
    <row r="1691" spans="1:11" ht="47.25" x14ac:dyDescent="0.25">
      <c r="A1691" s="1" t="str">
        <f>"266/2014"</f>
        <v>266/2014</v>
      </c>
      <c r="B1691" s="1" t="s">
        <v>14</v>
      </c>
      <c r="C1691" s="1" t="s">
        <v>642</v>
      </c>
      <c r="D1691" s="1" t="str">
        <f>CONCATENATE("2014-2185",CHAR(10),"2014/S 002-007614 od 04.04.2014.")</f>
        <v>2014-2185
2014/S 002-007614 od 04.04.2014.</v>
      </c>
      <c r="E1691" s="1" t="s">
        <v>15</v>
      </c>
      <c r="F1691" s="1" t="str">
        <f>"813.466,50"</f>
        <v>813.466,50</v>
      </c>
      <c r="G1691" s="1" t="str">
        <f>CONCATENATE("17.06.2014.",CHAR(10),"90 kalendarskih dana od potpisa ugovora")</f>
        <v>17.06.2014.
90 kalendarskih dana od potpisa ugovora</v>
      </c>
      <c r="H1691" s="1" t="str">
        <f>CONCATENATE("RASCO D.O.O., KALINOVAC")</f>
        <v>RASCO D.O.O., KALINOVAC</v>
      </c>
      <c r="I1691" s="2"/>
      <c r="J1691" s="1"/>
      <c r="K1691" s="1" t="s">
        <v>607</v>
      </c>
    </row>
    <row r="1692" spans="1:11" ht="63" x14ac:dyDescent="0.25">
      <c r="A1692" s="1" t="str">
        <f>"A-72/2014"</f>
        <v>A-72/2014</v>
      </c>
      <c r="B1692" s="1" t="s">
        <v>11</v>
      </c>
      <c r="C1692" s="1" t="s">
        <v>643</v>
      </c>
      <c r="D1692" s="1" t="str">
        <f>"1684-2013-EMV"</f>
        <v>1684-2013-EMV</v>
      </c>
      <c r="E1692" s="2"/>
      <c r="F1692" s="1" t="str">
        <f>"0,00"</f>
        <v>0,00</v>
      </c>
      <c r="G1692" s="1" t="str">
        <f>CONCATENATE("17.06.2014.",CHAR(10),"do sklapanja novog ugovora nakon provedenog postupka javne nabave")</f>
        <v>17.06.2014.
do sklapanja novog ugovora nakon provedenog postupka javne nabave</v>
      </c>
      <c r="H1692" s="1" t="str">
        <f>CONCATENATE("ADRIA GRUPA D.O.O., ZAGREB")</f>
        <v>ADRIA GRUPA D.O.O., ZAGREB</v>
      </c>
      <c r="I1692" s="2"/>
      <c r="J1692" s="1"/>
      <c r="K1692" s="2"/>
    </row>
    <row r="1693" spans="1:11" ht="110.25" x14ac:dyDescent="0.25">
      <c r="A1693" s="1" t="str">
        <f>"A-73/2014"</f>
        <v>A-73/2014</v>
      </c>
      <c r="B1693" s="1" t="s">
        <v>11</v>
      </c>
      <c r="C1693" s="1" t="s">
        <v>644</v>
      </c>
      <c r="D1693" s="1" t="str">
        <f>"1113-2012-EMV"</f>
        <v>1113-2012-EMV</v>
      </c>
      <c r="E1693" s="2"/>
      <c r="F1693" s="1" t="str">
        <f>"0,00"</f>
        <v>0,00</v>
      </c>
      <c r="G1693" s="1" t="str">
        <f>CONCATENATE("17.06.2014.",CHAR(10),"30.09.2014")</f>
        <v>17.06.2014.
30.09.2014</v>
      </c>
      <c r="H1693" s="1" t="str">
        <f>CONCATENATE("1. Zajednica ponuditelja: ",CHAR(10),"    KONČAR - ELEKTRONIKA I INFORMATIKA D.D., ZAGREB",CHAR(10),"    KONČAR-INŽENJERING ZA ENERGETIKU I TRANSPORT D.D., ZAGREB",CHAR(10),"    HELB D.O.O., DUGO SELO")</f>
        <v>1. Zajednica ponuditelja: 
    KONČAR - ELEKTRONIKA I INFORMATIKA D.D., ZAGREB
    KONČAR-INŽENJERING ZA ENERGETIKU I TRANSPORT D.D., ZAGREB
    HELB D.O.O., DUGO SELO</v>
      </c>
      <c r="I1693" s="2"/>
      <c r="J1693" s="1"/>
      <c r="K1693" s="2"/>
    </row>
    <row r="1694" spans="1:11" ht="47.25" x14ac:dyDescent="0.25">
      <c r="A1694" s="1" t="str">
        <f>"268/2014"</f>
        <v>268/2014</v>
      </c>
      <c r="B1694" s="1" t="s">
        <v>26</v>
      </c>
      <c r="C1694" s="1" t="s">
        <v>645</v>
      </c>
      <c r="D1694" s="1" t="str">
        <f>"194-2013-EMV"</f>
        <v>194-2013-EMV</v>
      </c>
      <c r="E1694" s="2"/>
      <c r="F1694" s="1" t="str">
        <f>"203.716,00"</f>
        <v>203.716,00</v>
      </c>
      <c r="G1694" s="1" t="str">
        <f>CONCATENATE("18.06.2014.",CHAR(10),"1 godina od obostranog potpisa ugovora")</f>
        <v>18.06.2014.
1 godina od obostranog potpisa ugovora</v>
      </c>
      <c r="H1694" s="1" t="str">
        <f>CONCATENATE("OTIS DIZALA D.O.O., ZAGREB")</f>
        <v>OTIS DIZALA D.O.O., ZAGREB</v>
      </c>
      <c r="I1694" s="2"/>
      <c r="J1694" s="1"/>
      <c r="K1694" s="2"/>
    </row>
    <row r="1695" spans="1:11" ht="78.75" x14ac:dyDescent="0.25">
      <c r="A1695" s="1" t="str">
        <f>"A-74/2014"</f>
        <v>A-74/2014</v>
      </c>
      <c r="B1695" s="1" t="s">
        <v>11</v>
      </c>
      <c r="C1695" s="1" t="s">
        <v>646</v>
      </c>
      <c r="D1695" s="1" t="str">
        <f>"1640-2013-EMV"</f>
        <v>1640-2013-EMV</v>
      </c>
      <c r="E1695" s="2"/>
      <c r="F1695" s="1" t="str">
        <f>"0,00"</f>
        <v>0,00</v>
      </c>
      <c r="G1695" s="1" t="str">
        <f>CONCATENATE("18.06.2014.",CHAR(10),"15.07.2014")</f>
        <v>18.06.2014.
15.07.2014</v>
      </c>
      <c r="H1695" s="1" t="str">
        <f>CONCATENATE("1. Zajednica ponuditelja: ",CHAR(10),"    PROING D.O.O., ZAGREB",CHAR(10),"    TERMOPROJEKT BOTICA D.O.O., ZADAR",CHAR(10),"    ELAG D.O.O., ZAGREB")</f>
        <v>1. Zajednica ponuditelja: 
    PROING D.O.O., ZAGREB
    TERMOPROJEKT BOTICA D.O.O., ZADAR
    ELAG D.O.O., ZAGREB</v>
      </c>
      <c r="I1695" s="2"/>
      <c r="J1695" s="1"/>
      <c r="K1695" s="2"/>
    </row>
    <row r="1696" spans="1:11" ht="47.25" x14ac:dyDescent="0.25">
      <c r="A1696" s="1" t="str">
        <f>"270/2014"</f>
        <v>270/2014</v>
      </c>
      <c r="B1696" s="1" t="s">
        <v>26</v>
      </c>
      <c r="C1696" s="1" t="s">
        <v>647</v>
      </c>
      <c r="D1696" s="1" t="str">
        <f>"245-2014-EVV"</f>
        <v>245-2014-EVV</v>
      </c>
      <c r="E1696" s="2"/>
      <c r="F1696" s="1" t="str">
        <f>"1.716.611,00"</f>
        <v>1.716.611,00</v>
      </c>
      <c r="G1696" s="1" t="str">
        <f>CONCATENATE("20.06.2014.",CHAR(10),"12 mjeseci")</f>
        <v>20.06.2014.
12 mjeseci</v>
      </c>
      <c r="H1696" s="1" t="str">
        <f>CONCATENATE("COMPING D.O.O., ZAGREB")</f>
        <v>COMPING D.O.O., ZAGREB</v>
      </c>
      <c r="I1696" s="1" t="s">
        <v>254</v>
      </c>
      <c r="J1696" s="1" t="str">
        <f>SUBSTITUTE(SUBSTITUTE(SUBSTITUTE("2,145,763.75",".","-"),",","."),"-",",")</f>
        <v>2.145.763,75</v>
      </c>
      <c r="K1696" s="2"/>
    </row>
    <row r="1697" spans="1:11" ht="47.25" x14ac:dyDescent="0.25">
      <c r="A1697" s="1" t="str">
        <f>"271/2014"</f>
        <v>271/2014</v>
      </c>
      <c r="B1697" s="1" t="s">
        <v>14</v>
      </c>
      <c r="C1697" s="1" t="s">
        <v>648</v>
      </c>
      <c r="D1697" s="1" t="str">
        <f>CONCATENATE("1222-2014-EMV",CHAR(10),"2014/S 015-0018660 od 09.04.2014.")</f>
        <v>1222-2014-EMV
2014/S 015-0018660 od 09.04.2014.</v>
      </c>
      <c r="E1697" s="1" t="s">
        <v>12</v>
      </c>
      <c r="F1697" s="1" t="str">
        <f>"9.954.271,69"</f>
        <v>9.954.271,69</v>
      </c>
      <c r="G1697" s="1" t="str">
        <f>CONCATENATE("23.06.2014.",CHAR(10),"3 mjeseca od dana uvođenja u posao")</f>
        <v>23.06.2014.
3 mjeseca od dana uvođenja u posao</v>
      </c>
      <c r="H1697" s="1" t="str">
        <f>CONCATENATE("GRADNJA D.O.O., OSIJEK")</f>
        <v>GRADNJA D.O.O., OSIJEK</v>
      </c>
      <c r="I1697" s="1" t="s">
        <v>165</v>
      </c>
      <c r="J1697" s="1" t="str">
        <f>SUBSTITUTE(SUBSTITUTE(SUBSTITUTE("12,429,453.60",".","-"),",","."),"-",",")</f>
        <v>12.429.453,60</v>
      </c>
      <c r="K1697" s="2"/>
    </row>
    <row r="1698" spans="1:11" ht="63" x14ac:dyDescent="0.25">
      <c r="A1698" s="1" t="str">
        <f>"A-75/2014"</f>
        <v>A-75/2014</v>
      </c>
      <c r="B1698" s="1" t="s">
        <v>11</v>
      </c>
      <c r="C1698" s="1" t="s">
        <v>649</v>
      </c>
      <c r="D1698" s="1" t="str">
        <f>"1397-2013-EMV"</f>
        <v>1397-2013-EMV</v>
      </c>
      <c r="E1698" s="2"/>
      <c r="F1698" s="1" t="str">
        <f>"279.144,16"</f>
        <v>279.144,16</v>
      </c>
      <c r="G1698" s="1" t="str">
        <f>"20.06.2014."</f>
        <v>20.06.2014.</v>
      </c>
      <c r="H1698" s="1" t="str">
        <f>CONCATENATE("1. Zajednica ponuditelja: ",CHAR(10),"    NERING D.O.O., SESVETE",CHAR(10),"    MJERNIK LIMA D.O.O., ZAGREB",CHAR(10),"    NEVING D.O.O., ZAGREB")</f>
        <v>1. Zajednica ponuditelja: 
    NERING D.O.O., SESVETE
    MJERNIK LIMA D.O.O., ZAGREB
    NEVING D.O.O., ZAGREB</v>
      </c>
      <c r="I1698" s="2"/>
      <c r="J1698" s="1"/>
      <c r="K1698" s="2"/>
    </row>
    <row r="1699" spans="1:11" ht="47.25" x14ac:dyDescent="0.25">
      <c r="A1699" s="1" t="str">
        <f>"272/2014"</f>
        <v>272/2014</v>
      </c>
      <c r="B1699" s="1" t="s">
        <v>14</v>
      </c>
      <c r="C1699" s="1" t="s">
        <v>650</v>
      </c>
      <c r="D1699" s="1" t="str">
        <f>CONCATENATE("458-2014-EMV",CHAR(10),"2014/S 002-0013408 od 17.03.2014.")</f>
        <v>458-2014-EMV
2014/S 002-0013408 od 17.03.2014.</v>
      </c>
      <c r="E1699" s="1" t="s">
        <v>15</v>
      </c>
      <c r="F1699" s="1" t="str">
        <f>"519.055,17"</f>
        <v>519.055,17</v>
      </c>
      <c r="G1699" s="1" t="str">
        <f>CONCATENATE("23.06.2014.",CHAR(10),"75 dana od dana uvođenja u posao")</f>
        <v>23.06.2014.
75 dana od dana uvođenja u posao</v>
      </c>
      <c r="H1699" s="1" t="str">
        <f>CONCATENATE("TERMOINŽENJERING-MONTAŽA D.D., DONJA BISTRA")</f>
        <v>TERMOINŽENJERING-MONTAŽA D.D., DONJA BISTRA</v>
      </c>
      <c r="I1699" s="1" t="s">
        <v>207</v>
      </c>
      <c r="J1699" s="1" t="str">
        <f>SUBSTITUTE(SUBSTITUTE(SUBSTITUTE("648,652.42",".","-"),",","."),"-",",")</f>
        <v>648.652,42</v>
      </c>
      <c r="K1699" s="2"/>
    </row>
    <row r="1700" spans="1:11" ht="63" x14ac:dyDescent="0.25">
      <c r="A1700" s="1" t="str">
        <f>"273/2014"</f>
        <v>273/2014</v>
      </c>
      <c r="B1700" s="1" t="s">
        <v>14</v>
      </c>
      <c r="C1700" s="1" t="s">
        <v>2786</v>
      </c>
      <c r="D1700" s="1" t="str">
        <f>CONCATENATE("2262-2013-EMV",CHAR(10),"2013/S 002-0055658 od 20.06.2014.")</f>
        <v>2262-2013-EMV
2013/S 002-0055658 od 20.06.2014.</v>
      </c>
      <c r="E1700" s="1" t="s">
        <v>15</v>
      </c>
      <c r="F1700" s="1" t="str">
        <f>"182.261,80"</f>
        <v>182.261,80</v>
      </c>
      <c r="G1700" s="1" t="str">
        <f>CONCATENATE("23.06.2014.",CHAR(10),"30 dana od dana uvođenja u posao")</f>
        <v>23.06.2014.
30 dana od dana uvođenja u posao</v>
      </c>
      <c r="H1700" s="1" t="str">
        <f>CONCATENATE("1. Zajednica ponuditelja: ",CHAR(10),"    ELEKTROKEM D.O.O., SESVETE",CHAR(10),"    GEO-INFORMATIČKI STUDIO D.O.O., ZAGREB")</f>
        <v>1. Zajednica ponuditelja: 
    ELEKTROKEM D.O.O., SESVETE
    GEO-INFORMATIČKI STUDIO D.O.O., ZAGREB</v>
      </c>
      <c r="I1700" s="2"/>
      <c r="J1700" s="1"/>
      <c r="K1700" s="2"/>
    </row>
    <row r="1701" spans="1:11" ht="47.25" x14ac:dyDescent="0.25">
      <c r="A1701" s="1" t="str">
        <f>"274/2014"</f>
        <v>274/2014</v>
      </c>
      <c r="B1701" s="1" t="s">
        <v>14</v>
      </c>
      <c r="C1701" s="1" t="s">
        <v>651</v>
      </c>
      <c r="D1701" s="1" t="str">
        <f>CONCATENATE("792-2014-EBV",CHAR(10),"2014/S 015-0028829 od 09.06.2014.")</f>
        <v>792-2014-EBV
2014/S 015-0028829 od 09.06.2014.</v>
      </c>
      <c r="E1701" s="1" t="s">
        <v>12</v>
      </c>
      <c r="F1701" s="1" t="str">
        <f>"69.830,37"</f>
        <v>69.830,37</v>
      </c>
      <c r="G1701" s="1" t="str">
        <f>CONCATENATE("23.06.2014.",CHAR(10),"3 mjeseca od dana uvođenja u posao")</f>
        <v>23.06.2014.
3 mjeseca od dana uvođenja u posao</v>
      </c>
      <c r="H1701" s="1" t="str">
        <f>CONCATENATE("HEDOM D.O.O., ZAGREB")</f>
        <v>HEDOM D.O.O., ZAGREB</v>
      </c>
      <c r="I1701" s="1" t="s">
        <v>246</v>
      </c>
      <c r="J1701" s="1" t="str">
        <f>SUBSTITUTE(SUBSTITUTE(SUBSTITUTE("87,287.96",".","-"),",","."),"-",",")</f>
        <v>87.287,96</v>
      </c>
      <c r="K1701" s="2"/>
    </row>
    <row r="1702" spans="1:11" ht="47.25" x14ac:dyDescent="0.25">
      <c r="A1702" s="1" t="str">
        <f>"275/2014"</f>
        <v>275/2014</v>
      </c>
      <c r="B1702" s="1" t="s">
        <v>14</v>
      </c>
      <c r="C1702" s="1" t="s">
        <v>652</v>
      </c>
      <c r="D1702" s="1" t="str">
        <f>CONCATENATE("1269-2014-EMV",CHAR(10),"2014/S 002-0017954 od 07.04.2014.")</f>
        <v>1269-2014-EMV
2014/S 002-0017954 od 07.04.2014.</v>
      </c>
      <c r="E1702" s="1" t="s">
        <v>15</v>
      </c>
      <c r="F1702" s="1" t="str">
        <f>"5.197.471,75"</f>
        <v>5.197.471,75</v>
      </c>
      <c r="G1702" s="1" t="str">
        <f>CONCATENATE("23.06.2014.",CHAR(10),"365 dana od dana uvođenja u posao")</f>
        <v>23.06.2014.
365 dana od dana uvođenja u posao</v>
      </c>
      <c r="H1702" s="1" t="str">
        <f>CONCATENATE("ZAGREBAČKI HOLDING D.O.O., PODRUŽNICA ZRINJEVAC, ZAGREB")</f>
        <v>ZAGREBAČKI HOLDING D.O.O., PODRUŽNICA ZRINJEVAC, ZAGREB</v>
      </c>
      <c r="I1702" s="2"/>
      <c r="J1702" s="1"/>
      <c r="K1702" s="2"/>
    </row>
    <row r="1703" spans="1:11" ht="78.75" x14ac:dyDescent="0.25">
      <c r="A1703" s="1" t="str">
        <f>"276/2014"</f>
        <v>276/2014</v>
      </c>
      <c r="B1703" s="1" t="s">
        <v>14</v>
      </c>
      <c r="C1703" s="1" t="s">
        <v>653</v>
      </c>
      <c r="D1703" s="1" t="str">
        <f>CONCATENATE("1348-2014-EMV",CHAR(10),"2014/S 002-0017213 od 02.04.2014.")</f>
        <v>1348-2014-EMV
2014/S 002-0017213 od 02.04.2014.</v>
      </c>
      <c r="E1703" s="1" t="s">
        <v>15</v>
      </c>
      <c r="F1703" s="1" t="str">
        <f>"407.282,50"</f>
        <v>407.282,50</v>
      </c>
      <c r="G1703" s="1" t="str">
        <f>CONCATENATE("23.06.2014.",CHAR(10),"70 dana od dana uvođenja u posao")</f>
        <v>23.06.2014.
70 dana od dana uvođenja u posao</v>
      </c>
      <c r="H1703" s="1" t="str">
        <f>CONCATENATE("1. Zajednica ponuditelja: ",CHAR(10),"    SEMAFOR D.O.O., ZAGREB",CHAR(10),"    HVAR D.O.O., SAMOBOR")</f>
        <v>1. Zajednica ponuditelja: 
    SEMAFOR D.O.O., ZAGREB
    HVAR D.O.O., SAMOBOR</v>
      </c>
      <c r="I1703" s="2"/>
      <c r="J1703" s="1"/>
      <c r="K1703" s="2"/>
    </row>
    <row r="1704" spans="1:11" ht="47.25" x14ac:dyDescent="0.25">
      <c r="A1704" s="1" t="str">
        <f>"277/2014"</f>
        <v>277/2014</v>
      </c>
      <c r="B1704" s="1" t="s">
        <v>14</v>
      </c>
      <c r="C1704" s="1" t="s">
        <v>654</v>
      </c>
      <c r="D1704" s="1" t="str">
        <f>CONCATENATE("791-2014-EBV",CHAR(10),"2014/S 015-0029125 od 11.06.2014.")</f>
        <v>791-2014-EBV
2014/S 015-0029125 od 11.06.2014.</v>
      </c>
      <c r="E1704" s="1" t="s">
        <v>12</v>
      </c>
      <c r="F1704" s="1" t="str">
        <f>"64.990,80"</f>
        <v>64.990,80</v>
      </c>
      <c r="G1704" s="1" t="str">
        <f>CONCATENATE("26.06.2014.",CHAR(10),"2 mjeseca od dana uvođenja u posao")</f>
        <v>26.06.2014.
2 mjeseca od dana uvođenja u posao</v>
      </c>
      <c r="H1704" s="1" t="str">
        <f>CONCATENATE("HEDOM D.O.O., ZAGREB")</f>
        <v>HEDOM D.O.O., ZAGREB</v>
      </c>
      <c r="I1704" s="2"/>
      <c r="J1704" s="1"/>
      <c r="K1704" s="2"/>
    </row>
    <row r="1705" spans="1:11" ht="31.5" x14ac:dyDescent="0.25">
      <c r="A1705" s="1" t="str">
        <f>"A-76/2014"</f>
        <v>A-76/2014</v>
      </c>
      <c r="B1705" s="1" t="s">
        <v>11</v>
      </c>
      <c r="C1705" s="1" t="s">
        <v>655</v>
      </c>
      <c r="D1705" s="1" t="str">
        <f>"1097-2013-EMV"</f>
        <v>1097-2013-EMV</v>
      </c>
      <c r="E1705" s="2"/>
      <c r="F1705" s="1" t="str">
        <f>"0,00"</f>
        <v>0,00</v>
      </c>
      <c r="G1705" s="1" t="str">
        <f>CONCATENATE("26.06.2014.",CHAR(10),"01.09.2014")</f>
        <v>26.06.2014.
01.09.2014</v>
      </c>
      <c r="H1705" s="1" t="str">
        <f>CONCATENATE("GRADIMONT D.O.O., ZAGREB")</f>
        <v>GRADIMONT D.O.O., ZAGREB</v>
      </c>
      <c r="I1705" s="2"/>
      <c r="J1705" s="1"/>
      <c r="K1705" s="2"/>
    </row>
    <row r="1706" spans="1:11" ht="47.25" x14ac:dyDescent="0.25">
      <c r="A1706" s="1" t="str">
        <f>"278/2014"</f>
        <v>278/2014</v>
      </c>
      <c r="B1706" s="1" t="s">
        <v>14</v>
      </c>
      <c r="C1706" s="1" t="s">
        <v>656</v>
      </c>
      <c r="D1706" s="1" t="str">
        <f>CONCATENATE("799-2014-EBV",CHAR(10),"2014/S 015-0027714 od 04.06.2014.")</f>
        <v>799-2014-EBV
2014/S 015-0027714 od 04.06.2014.</v>
      </c>
      <c r="E1706" s="1" t="s">
        <v>12</v>
      </c>
      <c r="F1706" s="1" t="str">
        <f>"143.130,00"</f>
        <v>143.130,00</v>
      </c>
      <c r="G1706" s="1" t="str">
        <f>CONCATENATE("26.06.2014.",CHAR(10),"2 mjeseca od dana uvođenja u posao")</f>
        <v>26.06.2014.
2 mjeseca od dana uvođenja u posao</v>
      </c>
      <c r="H1706" s="1" t="str">
        <f>CONCATENATE("1. Zajednica ponuditelja: ",CHAR(10),"    MEŠIĆ COM D.O.O., ZAGREB",CHAR(10),"    MODULOR MODELI D.O.O., ZAGREB")</f>
        <v>1. Zajednica ponuditelja: 
    MEŠIĆ COM D.O.O., ZAGREB
    MODULOR MODELI D.O.O., ZAGREB</v>
      </c>
      <c r="I1706" s="2"/>
      <c r="J1706" s="1"/>
      <c r="K1706" s="2"/>
    </row>
    <row r="1707" spans="1:11" ht="47.25" x14ac:dyDescent="0.25">
      <c r="A1707" s="1" t="str">
        <f>"279/2014"</f>
        <v>279/2014</v>
      </c>
      <c r="B1707" s="1" t="s">
        <v>14</v>
      </c>
      <c r="C1707" s="1" t="s">
        <v>657</v>
      </c>
      <c r="D1707" s="1" t="str">
        <f>CONCATENATE("2014-2134",CHAR(10),"2014/S 002-0020641 od 22.04.2014.")</f>
        <v>2014-2134
2014/S 002-0020641 od 22.04.2014.</v>
      </c>
      <c r="E1707" s="1" t="s">
        <v>15</v>
      </c>
      <c r="F1707" s="1" t="str">
        <f>"5.595.977,75"</f>
        <v>5.595.977,75</v>
      </c>
      <c r="G1707" s="1" t="str">
        <f>CONCATENATE("26.06.2014.",CHAR(10),"180 dana od dana uvođenja u posao")</f>
        <v>26.06.2014.
180 dana od dana uvođenja u posao</v>
      </c>
      <c r="H1707" s="1" t="str">
        <f>CONCATENATE("GIP PIONIR D.O.O., ZAGREB")</f>
        <v>GIP PIONIR D.O.O., ZAGREB</v>
      </c>
      <c r="I1707" s="2"/>
      <c r="J1707" s="1"/>
      <c r="K1707" s="1" t="s">
        <v>607</v>
      </c>
    </row>
    <row r="1708" spans="1:11" ht="47.25" x14ac:dyDescent="0.25">
      <c r="A1708" s="1" t="str">
        <f>"280/2014"</f>
        <v>280/2014</v>
      </c>
      <c r="B1708" s="1" t="s">
        <v>14</v>
      </c>
      <c r="C1708" s="1" t="s">
        <v>658</v>
      </c>
      <c r="D1708" s="1" t="str">
        <f>CONCATENATE("1536-2014-EVV",CHAR(10),"2014/S 015-0024529 od 16.05.2014.")</f>
        <v>1536-2014-EVV
2014/S 015-0024529 od 16.05.2014.</v>
      </c>
      <c r="E1708" s="1" t="s">
        <v>40</v>
      </c>
      <c r="F1708" s="1" t="str">
        <f>"243.997,30"</f>
        <v>243.997,30</v>
      </c>
      <c r="G1708" s="1" t="str">
        <f>CONCATENATE("20.06.2014.",CHAR(10),"U vremenskom periodu od 23. lipnja do 17. rujna 2014.")</f>
        <v>20.06.2014.
U vremenskom periodu od 23. lipnja do 17. rujna 2014.</v>
      </c>
      <c r="H1708" s="1" t="str">
        <f>CONCATENATE("ZAGREBAČKI HOLDING D.O.O., PODRUŽNICA VLADIMIR NAZOR, ZAGREB")</f>
        <v>ZAGREBAČKI HOLDING D.O.O., PODRUŽNICA VLADIMIR NAZOR, ZAGREB</v>
      </c>
      <c r="I1708" s="1" t="s">
        <v>282</v>
      </c>
      <c r="J1708" s="1" t="str">
        <f>SUBSTITUTE(SUBSTITUTE(SUBSTITUTE("222,517.02",".","-"),",","."),"-",",")</f>
        <v>222.517,02</v>
      </c>
      <c r="K1708" s="2"/>
    </row>
    <row r="1709" spans="1:11" ht="47.25" x14ac:dyDescent="0.25">
      <c r="A1709" s="1" t="str">
        <f>"281/2014"</f>
        <v>281/2014</v>
      </c>
      <c r="B1709" s="1" t="s">
        <v>14</v>
      </c>
      <c r="C1709" s="1" t="s">
        <v>659</v>
      </c>
      <c r="D1709" s="1" t="str">
        <f>CONCATENATE("1536-2014-EVV",CHAR(10),"2014/S 015-0024529 od 16.05.2014.")</f>
        <v>1536-2014-EVV
2014/S 015-0024529 od 16.05.2014.</v>
      </c>
      <c r="E1709" s="1" t="s">
        <v>40</v>
      </c>
      <c r="F1709" s="1" t="str">
        <f>"351.495,31"</f>
        <v>351.495,31</v>
      </c>
      <c r="G1709" s="1" t="str">
        <f>CONCATENATE("20.06.2014.",CHAR(10),"U vremenskom periodu od 23. lipnja do 17. rujna 2014.")</f>
        <v>20.06.2014.
U vremenskom periodu od 23. lipnja do 17. rujna 2014.</v>
      </c>
      <c r="H1709" s="1" t="str">
        <f>CONCATENATE("ZAGREBAČKI HOLDING D.O.O., PODRUŽNICA VLADIMIR NAZOR, ZAGREB")</f>
        <v>ZAGREBAČKI HOLDING D.O.O., PODRUŽNICA VLADIMIR NAZOR, ZAGREB</v>
      </c>
      <c r="I1709" s="1" t="s">
        <v>540</v>
      </c>
      <c r="J1709" s="1" t="str">
        <f>SUBSTITUTE(SUBSTITUTE(SUBSTITUTE("316,528.70",".","-"),",","."),"-",",")</f>
        <v>316.528,70</v>
      </c>
      <c r="K1709" s="2"/>
    </row>
    <row r="1710" spans="1:11" ht="47.25" x14ac:dyDescent="0.25">
      <c r="A1710" s="1" t="str">
        <f>"282/2014"</f>
        <v>282/2014</v>
      </c>
      <c r="B1710" s="1" t="s">
        <v>14</v>
      </c>
      <c r="C1710" s="1" t="s">
        <v>660</v>
      </c>
      <c r="D1710" s="1" t="str">
        <f>CONCATENATE("1536-2014-EVV",CHAR(10),"2014/S 015-0024529 od 16.05.2014.")</f>
        <v>1536-2014-EVV
2014/S 015-0024529 od 16.05.2014.</v>
      </c>
      <c r="E1710" s="1" t="s">
        <v>40</v>
      </c>
      <c r="F1710" s="1" t="str">
        <f>"351.514,50"</f>
        <v>351.514,50</v>
      </c>
      <c r="G1710" s="1" t="str">
        <f>CONCATENATE("20.06.2014.",CHAR(10),"U vremenskom periodu od 23. lipnja do 17. rujna 2014.")</f>
        <v>20.06.2014.
U vremenskom periodu od 23. lipnja do 17. rujna 2014.</v>
      </c>
      <c r="H1710" s="1" t="str">
        <f>CONCATENATE("ZAGREBAČKI HOLDING D.O.O., PODRUŽNICA VLADIMIR NAZOR, ZAGREB")</f>
        <v>ZAGREBAČKI HOLDING D.O.O., PODRUŽNICA VLADIMIR NAZOR, ZAGREB</v>
      </c>
      <c r="I1710" s="1" t="s">
        <v>661</v>
      </c>
      <c r="J1710" s="1" t="str">
        <f>SUBSTITUTE(SUBSTITUTE(SUBSTITUTE("315,030.28",".","-"),",","."),"-",",")</f>
        <v>315.030,28</v>
      </c>
      <c r="K1710" s="2"/>
    </row>
    <row r="1711" spans="1:11" ht="47.25" x14ac:dyDescent="0.25">
      <c r="A1711" s="1" t="str">
        <f>"283/2014"</f>
        <v>283/2014</v>
      </c>
      <c r="B1711" s="1" t="s">
        <v>14</v>
      </c>
      <c r="C1711" s="1" t="s">
        <v>662</v>
      </c>
      <c r="D1711" s="1" t="str">
        <f>CONCATENATE("1536-2014-EVV",CHAR(10),"2014/S 015-0024529 od 16.05.2014.")</f>
        <v>1536-2014-EVV
2014/S 015-0024529 od 16.05.2014.</v>
      </c>
      <c r="E1711" s="1" t="s">
        <v>40</v>
      </c>
      <c r="F1711" s="1" t="str">
        <f>"386.007,90"</f>
        <v>386.007,90</v>
      </c>
      <c r="G1711" s="1" t="str">
        <f>CONCATENATE("20.06.2014.",CHAR(10),"U vremenskom periodu od 23. lipnja do 17. rujna 2014.")</f>
        <v>20.06.2014.
U vremenskom periodu od 23. lipnja do 17. rujna 2014.</v>
      </c>
      <c r="H1711" s="1" t="str">
        <f>CONCATENATE("ZAGREBAČKI HOLDING D.O.O., PODRUŽNICA VLADIMIR NAZOR, ZAGREB")</f>
        <v>ZAGREBAČKI HOLDING D.O.O., PODRUŽNICA VLADIMIR NAZOR, ZAGREB</v>
      </c>
      <c r="I1711" s="1" t="s">
        <v>663</v>
      </c>
      <c r="J1711" s="1" t="str">
        <f>SUBSTITUTE(SUBSTITUTE(SUBSTITUTE("350,089.92",".","-"),",","."),"-",",")</f>
        <v>350.089,92</v>
      </c>
      <c r="K1711" s="2"/>
    </row>
    <row r="1712" spans="1:11" ht="47.25" x14ac:dyDescent="0.25">
      <c r="A1712" s="1" t="str">
        <f>"284/2014"</f>
        <v>284/2014</v>
      </c>
      <c r="B1712" s="1" t="s">
        <v>14</v>
      </c>
      <c r="C1712" s="1" t="s">
        <v>664</v>
      </c>
      <c r="D1712" s="1" t="str">
        <f>CONCATENATE("1536-2014-EVV",CHAR(10),"2014/S 015-0024529 od 16.05.2014.")</f>
        <v>1536-2014-EVV
2014/S 015-0024529 od 16.05.2014.</v>
      </c>
      <c r="E1712" s="1" t="s">
        <v>40</v>
      </c>
      <c r="F1712" s="1" t="str">
        <f>"946.012,77"</f>
        <v>946.012,77</v>
      </c>
      <c r="G1712" s="1" t="str">
        <f>CONCATENATE("20.06.2014.",CHAR(10),"U vremenskom periodu od 23. lipnja do 17. rujna 2014.")</f>
        <v>20.06.2014.
U vremenskom periodu od 23. lipnja do 17. rujna 2014.</v>
      </c>
      <c r="H1712" s="1" t="str">
        <f>CONCATENATE("ZAGREBAČKI HOLDING D.O.O., PODRUŽNICA VLADIMIR NAZOR, ZAGREB")</f>
        <v>ZAGREBAČKI HOLDING D.O.O., PODRUŽNICA VLADIMIR NAZOR, ZAGREB</v>
      </c>
      <c r="I1712" s="1" t="s">
        <v>199</v>
      </c>
      <c r="J1712" s="1" t="str">
        <f>SUBSTITUTE(SUBSTITUTE(SUBSTITUTE("871,194.06",".","-"),",","."),"-",",")</f>
        <v>871.194,06</v>
      </c>
      <c r="K1712" s="2"/>
    </row>
    <row r="1713" spans="1:11" ht="63" x14ac:dyDescent="0.25">
      <c r="A1713" s="1" t="str">
        <f>"285/2014"</f>
        <v>285/2014</v>
      </c>
      <c r="B1713" s="1" t="s">
        <v>136</v>
      </c>
      <c r="C1713" s="1" t="s">
        <v>665</v>
      </c>
      <c r="D1713" s="1" t="str">
        <f>CONCATENATE("2014-107",CHAR(10),"2014/S 002-0014753 od 24.03.2014.")</f>
        <v>2014-107
2014/S 002-0014753 od 24.03.2014.</v>
      </c>
      <c r="E1713" s="1" t="s">
        <v>366</v>
      </c>
      <c r="F1713" s="1" t="str">
        <f>"879.778,00"</f>
        <v>879.778,00</v>
      </c>
      <c r="G1713" s="1" t="str">
        <f>CONCATENATE("27.06.2014.",CHAR(10),"2 godine")</f>
        <v>27.06.2014.
2 godine</v>
      </c>
      <c r="H1713" s="1" t="str">
        <f>CONCATENATE("1. Zajednica ponuditelja: ",CHAR(10),"    VINDIJA D.D., VARAŽDIN",CHAR(10),"    KOKA D.D., VARAŽDIN",CHAR(10),"    VINDON D.O.O., SLAVONSKI BROD")</f>
        <v>1. Zajednica ponuditelja: 
    VINDIJA D.D., VARAŽDIN
    KOKA D.D., VARAŽDIN
    VINDON D.O.O., SLAVONSKI BROD</v>
      </c>
      <c r="I1713" s="2"/>
      <c r="J1713" s="1"/>
      <c r="K1713" s="1" t="s">
        <v>607</v>
      </c>
    </row>
    <row r="1714" spans="1:11" ht="47.25" x14ac:dyDescent="0.25">
      <c r="A1714" s="1" t="str">
        <f>"A-77/2014"</f>
        <v>A-77/2014</v>
      </c>
      <c r="B1714" s="1" t="s">
        <v>11</v>
      </c>
      <c r="C1714" s="1" t="s">
        <v>666</v>
      </c>
      <c r="D1714" s="1" t="str">
        <f>"1644-2013-EMV"</f>
        <v>1644-2013-EMV</v>
      </c>
      <c r="E1714" s="2"/>
      <c r="F1714" s="1" t="str">
        <f>"0,00"</f>
        <v>0,00</v>
      </c>
      <c r="G1714" s="1" t="str">
        <f>CONCATENATE("01.07.2014.",CHAR(10),"30.7.2014")</f>
        <v>01.07.2014.
30.7.2014</v>
      </c>
      <c r="H1714" s="1" t="str">
        <f>CONCATENATE("1. Zajednica ponuditelja: ",CHAR(10),"    ARHINGTRADE D.O.O., ZAGREB",CHAR(10),"    STATING D.O.O., ZAGREB")</f>
        <v>1. Zajednica ponuditelja: 
    ARHINGTRADE D.O.O., ZAGREB
    STATING D.O.O., ZAGREB</v>
      </c>
      <c r="I1714" s="2"/>
      <c r="J1714" s="1"/>
      <c r="K1714" s="2"/>
    </row>
    <row r="1715" spans="1:11" ht="78.75" x14ac:dyDescent="0.25">
      <c r="A1715" s="1" t="str">
        <f>"288/2014"</f>
        <v>288/2014</v>
      </c>
      <c r="B1715" s="1" t="s">
        <v>136</v>
      </c>
      <c r="C1715" s="1" t="s">
        <v>667</v>
      </c>
      <c r="D1715" s="1" t="str">
        <f>CONCATENATE("2014-1759",CHAR(10),"2014/S 002-0024238 od 15.04.2014.")</f>
        <v>2014-1759
2014/S 002-0024238 od 15.04.2014.</v>
      </c>
      <c r="E1715" s="1" t="s">
        <v>366</v>
      </c>
      <c r="F1715" s="1" t="str">
        <f>"699.885,00"</f>
        <v>699.885,00</v>
      </c>
      <c r="G1715" s="1" t="str">
        <f>CONCATENATE("01.07.2014.",CHAR(10),"2 godine")</f>
        <v>01.07.2014.
2 godine</v>
      </c>
      <c r="H1715" s="1" t="str">
        <f>CONCATENATE("1. Zajednica ponuditelja: ",CHAR(10),"    EKONERG D.O.O., ZAGREB",CHAR(10),"    INSTITUT ZA MEDICINSKA ISTRAŽIVANJA I MEDICINU RADA, ZAGREB")</f>
        <v>1. Zajednica ponuditelja: 
    EKONERG D.O.O., ZAGREB
    INSTITUT ZA MEDICINSKA ISTRAŽIVANJA I MEDICINU RADA, ZAGREB</v>
      </c>
      <c r="I1715" s="2"/>
      <c r="J1715" s="1"/>
      <c r="K1715" s="1" t="s">
        <v>607</v>
      </c>
    </row>
    <row r="1716" spans="1:11" ht="47.25" x14ac:dyDescent="0.25">
      <c r="A1716" s="1" t="str">
        <f>"289/2014"</f>
        <v>289/2014</v>
      </c>
      <c r="B1716" s="1" t="s">
        <v>14</v>
      </c>
      <c r="C1716" s="1" t="s">
        <v>2787</v>
      </c>
      <c r="D1716" s="1" t="str">
        <f>CONCATENATE("2014-2133",CHAR(10),"2014/S 015-0027867 od 04.06.2014.")</f>
        <v>2014-2133
2014/S 015-0027867 od 04.06.2014.</v>
      </c>
      <c r="E1716" s="1" t="s">
        <v>12</v>
      </c>
      <c r="F1716" s="1" t="str">
        <f>"695.393,42"</f>
        <v>695.393,42</v>
      </c>
      <c r="G1716" s="1" t="str">
        <f>CONCATENATE("01.07.2014.",CHAR(10),"15 dana od dana uvođenja u posao")</f>
        <v>01.07.2014.
15 dana od dana uvođenja u posao</v>
      </c>
      <c r="H1716" s="1" t="str">
        <f>CONCATENATE("GIP PIONIR D.O.O., ZAGREB")</f>
        <v>GIP PIONIR D.O.O., ZAGREB</v>
      </c>
      <c r="I1716" s="2"/>
      <c r="J1716" s="1"/>
      <c r="K1716" s="1" t="s">
        <v>607</v>
      </c>
    </row>
    <row r="1717" spans="1:11" ht="47.25" x14ac:dyDescent="0.25">
      <c r="A1717" s="1" t="str">
        <f>"290/2014"</f>
        <v>290/2014</v>
      </c>
      <c r="B1717" s="1" t="s">
        <v>14</v>
      </c>
      <c r="C1717" s="1" t="s">
        <v>2788</v>
      </c>
      <c r="D1717" s="1" t="str">
        <f>CONCATENATE("1134-2013-EMV",CHAR(10),"2013/S 002-0060015 od 05.07.2013.")</f>
        <v>1134-2013-EMV
2013/S 002-0060015 od 05.07.2013.</v>
      </c>
      <c r="E1717" s="1" t="s">
        <v>15</v>
      </c>
      <c r="F1717" s="1" t="str">
        <f>"797.294,83"</f>
        <v>797.294,83</v>
      </c>
      <c r="G1717" s="1" t="str">
        <f>CONCATENATE("01.07.2014.",CHAR(10),"12 mjeseci od dana uvođenja u posao")</f>
        <v>01.07.2014.
12 mjeseci od dana uvođenja u posao</v>
      </c>
      <c r="H1717" s="1" t="str">
        <f>CONCATENATE("1. Zajednica ponuditelja: ",CHAR(10),"    TA-GRAD D.O.O., ZAGREB",CHAR(10),"    TERRACOTTA D.O.O., ZAGREB")</f>
        <v>1. Zajednica ponuditelja: 
    TA-GRAD D.O.O., ZAGREB
    TERRACOTTA D.O.O., ZAGREB</v>
      </c>
      <c r="I1717" s="2"/>
      <c r="J1717" s="1"/>
      <c r="K1717" s="2"/>
    </row>
    <row r="1718" spans="1:11" ht="63" x14ac:dyDescent="0.25">
      <c r="A1718" s="1" t="str">
        <f>"291/2014"</f>
        <v>291/2014</v>
      </c>
      <c r="B1718" s="1" t="s">
        <v>14</v>
      </c>
      <c r="C1718" s="1" t="s">
        <v>668</v>
      </c>
      <c r="D1718" s="1" t="str">
        <f>CONCATENATE("674-2014-EMV",CHAR(10),"2014/S 002-0017920 od 07.04.2014.")</f>
        <v>674-2014-EMV
2014/S 002-0017920 od 07.04.2014.</v>
      </c>
      <c r="E1718" s="1" t="s">
        <v>15</v>
      </c>
      <c r="F1718" s="1" t="str">
        <f>"615.239,00"</f>
        <v>615.239,00</v>
      </c>
      <c r="G1718" s="1" t="str">
        <f>CONCATENATE("01.07.2014.",CHAR(10),"90 dana od dana uvođenja u posao")</f>
        <v>01.07.2014.
90 dana od dana uvođenja u posao</v>
      </c>
      <c r="H1718" s="1" t="str">
        <f>CONCATENATE("1. Zajednica ponuditelja: ",CHAR(10),"    ELEKTROKEM D.O.O., SESVETE",CHAR(10),"    GEO-INFORMATIČKI STUDIO D.O.O., ZAGREB")</f>
        <v>1. Zajednica ponuditelja: 
    ELEKTROKEM D.O.O., SESVETE
    GEO-INFORMATIČKI STUDIO D.O.O., ZAGREB</v>
      </c>
      <c r="I1718" s="2"/>
      <c r="J1718" s="1"/>
      <c r="K1718" s="2"/>
    </row>
    <row r="1719" spans="1:11" ht="63" x14ac:dyDescent="0.25">
      <c r="A1719" s="1" t="str">
        <f>"292/2014"</f>
        <v>292/2014</v>
      </c>
      <c r="B1719" s="1" t="s">
        <v>136</v>
      </c>
      <c r="C1719" s="1" t="s">
        <v>669</v>
      </c>
      <c r="D1719" s="1" t="str">
        <f>CONCATENATE("249-2014-EVV",CHAR(10),"2014/S 002-0016366 od 31.03.2014.")</f>
        <v>249-2014-EVV
2014/S 002-0016366 od 31.03.2014.</v>
      </c>
      <c r="E1719" s="1" t="s">
        <v>366</v>
      </c>
      <c r="F1719" s="1" t="str">
        <f>"12.991.010,00"</f>
        <v>12.991.010,00</v>
      </c>
      <c r="G1719" s="1" t="str">
        <f>CONCATENATE("01.07.2014.",CHAR(10),"2 godine")</f>
        <v>01.07.2014.
2 godine</v>
      </c>
      <c r="H1719" s="1" t="str">
        <f>CONCATENATE("1. Zajednica ponuditelja: ",CHAR(10),"    EBC SISTEMI D.O.O., ZAGREB",CHAR(10),"    STORM COMPUTERS D.O.O., ZAGREB")</f>
        <v>1. Zajednica ponuditelja: 
    EBC SISTEMI D.O.O., ZAGREB
    STORM COMPUTERS D.O.O., ZAGREB</v>
      </c>
      <c r="I1719" s="2"/>
      <c r="J1719" s="1"/>
      <c r="K1719" s="2"/>
    </row>
    <row r="1720" spans="1:11" ht="47.25" x14ac:dyDescent="0.25">
      <c r="A1720" s="1" t="str">
        <f>"293/2014"</f>
        <v>293/2014</v>
      </c>
      <c r="B1720" s="1" t="s">
        <v>14</v>
      </c>
      <c r="C1720" s="1" t="s">
        <v>670</v>
      </c>
      <c r="D1720" s="1" t="str">
        <f>CONCATENATE("1683-2014-EMV",CHAR(10),"2014/S 015-0030215 od 17.06.2014.")</f>
        <v>1683-2014-EMV
2014/S 015-0030215 od 17.06.2014.</v>
      </c>
      <c r="E1720" s="1" t="s">
        <v>40</v>
      </c>
      <c r="F1720" s="1" t="str">
        <f>"391.832,00"</f>
        <v>391.832,00</v>
      </c>
      <c r="G1720" s="1" t="str">
        <f>CONCATENATE("01.07.2014.",CHAR(10),"U vremenskom periodu od 14. srpnja do 11. kolovoza 2014.")</f>
        <v>01.07.2014.
U vremenskom periodu od 14. srpnja do 11. kolovoza 2014.</v>
      </c>
      <c r="H1720" s="1" t="str">
        <f>CONCATENATE("HRVATSKI CRVENI KRIŽ, GRADSKO DRUŠTVO CRVENOG KRIŽA ZAGREB, ZAGREB")</f>
        <v>HRVATSKI CRVENI KRIŽ, GRADSKO DRUŠTVO CRVENOG KRIŽA ZAGREB, ZAGREB</v>
      </c>
      <c r="I1720" s="1" t="s">
        <v>386</v>
      </c>
      <c r="J1720" s="1" t="str">
        <f>SUBSTITUTE(SUBSTITUTE(SUBSTITUTE("368,312.00",".","-"),",","."),"-",",")</f>
        <v>368.312,00</v>
      </c>
      <c r="K1720" s="2"/>
    </row>
    <row r="1721" spans="1:11" ht="78.75" x14ac:dyDescent="0.25">
      <c r="A1721" s="1" t="str">
        <f>"295/2014"</f>
        <v>295/2014</v>
      </c>
      <c r="B1721" s="1" t="s">
        <v>136</v>
      </c>
      <c r="C1721" s="1" t="s">
        <v>2789</v>
      </c>
      <c r="D1721" s="1" t="str">
        <f>CONCATENATE("2014-2207",CHAR(10),"2014/S 002-0019563 od 15.4.2014. i ispr. broj 2014/S 014-0020582 od 23.04.2014.")</f>
        <v>2014-2207
2014/S 002-0019563 od 15.4.2014. i ispr. broj 2014/S 014-0020582 od 23.04.2014.</v>
      </c>
      <c r="E1721" s="1" t="s">
        <v>366</v>
      </c>
      <c r="F1721" s="1" t="str">
        <f>"2.639.128,50"</f>
        <v>2.639.128,50</v>
      </c>
      <c r="G1721" s="1" t="str">
        <f>CONCATENATE("24.06.2014.",CHAR(10),"2 godine")</f>
        <v>24.06.2014.
2 godine</v>
      </c>
      <c r="H1721" s="1" t="str">
        <f>CONCATENATE("ELECTUS DGS D.O.O., ZAGREB")</f>
        <v>ELECTUS DGS D.O.O., ZAGREB</v>
      </c>
      <c r="I1721" s="2"/>
      <c r="J1721" s="1"/>
      <c r="K1721" s="1" t="s">
        <v>607</v>
      </c>
    </row>
    <row r="1722" spans="1:11" ht="63" x14ac:dyDescent="0.25">
      <c r="A1722" s="1" t="str">
        <f>"296/2014"</f>
        <v>296/2014</v>
      </c>
      <c r="B1722" s="1" t="s">
        <v>14</v>
      </c>
      <c r="C1722" s="1" t="s">
        <v>671</v>
      </c>
      <c r="D1722" s="1" t="str">
        <f>CONCATENATE("1319-2014-EMV",CHAR(10),"2014/S 002-0016813 od 01.04.2014.")</f>
        <v>1319-2014-EMV
2014/S 002-0016813 od 01.04.2014.</v>
      </c>
      <c r="E1722" s="1" t="s">
        <v>15</v>
      </c>
      <c r="F1722" s="1" t="str">
        <f>"999.465,00"</f>
        <v>999.465,00</v>
      </c>
      <c r="G1722" s="1" t="str">
        <f>CONCATENATE("02.07.2014.",CHAR(10),"180 dana od dana uvođenja u posao")</f>
        <v>02.07.2014.
180 dana od dana uvođenja u posao</v>
      </c>
      <c r="H1722" s="1" t="str">
        <f>CONCATENATE("P.G.P. D.O.O., ZAGREB")</f>
        <v>P.G.P. D.O.O., ZAGREB</v>
      </c>
      <c r="I1722" s="2"/>
      <c r="J1722" s="1"/>
      <c r="K1722" s="2"/>
    </row>
    <row r="1723" spans="1:11" ht="63" x14ac:dyDescent="0.25">
      <c r="A1723" s="1" t="str">
        <f>"297/2014"</f>
        <v>297/2014</v>
      </c>
      <c r="B1723" s="1" t="s">
        <v>14</v>
      </c>
      <c r="C1723" s="1" t="s">
        <v>672</v>
      </c>
      <c r="D1723" s="1" t="str">
        <f>CONCATENATE("1320-2014-EMV",CHAR(10),"2014/S 002-0016811 od 01.04.2014.")</f>
        <v>1320-2014-EMV
2014/S 002-0016811 od 01.04.2014.</v>
      </c>
      <c r="E1723" s="1" t="s">
        <v>15</v>
      </c>
      <c r="F1723" s="1" t="str">
        <f>"1.444.068,50"</f>
        <v>1.444.068,50</v>
      </c>
      <c r="G1723" s="1" t="str">
        <f>CONCATENATE("02.07.2014.",CHAR(10),"180 dana od dana uvođenja u posao")</f>
        <v>02.07.2014.
180 dana od dana uvođenja u posao</v>
      </c>
      <c r="H1723" s="1" t="str">
        <f>CONCATENATE("P.G.P. D.O.O., ZAGREB")</f>
        <v>P.G.P. D.O.O., ZAGREB</v>
      </c>
      <c r="I1723" s="2"/>
      <c r="J1723" s="1"/>
      <c r="K1723" s="2"/>
    </row>
    <row r="1724" spans="1:11" ht="78.75" x14ac:dyDescent="0.25">
      <c r="A1724" s="1" t="str">
        <f>"299/2014"</f>
        <v>299/2014</v>
      </c>
      <c r="B1724" s="1" t="s">
        <v>26</v>
      </c>
      <c r="C1724" s="1" t="s">
        <v>673</v>
      </c>
      <c r="D1724" s="1" t="str">
        <f>"481-2013-EVV"</f>
        <v>481-2013-EVV</v>
      </c>
      <c r="E1724" s="2"/>
      <c r="F1724" s="1" t="str">
        <f>"86.103,50"</f>
        <v>86.103,50</v>
      </c>
      <c r="G1724" s="1" t="str">
        <f>CONCATENATE("07.07.2014.",CHAR(10),"12 mjeseci od dana obostranog potpisa Ugovora")</f>
        <v>07.07.2014.
12 mjeseci od dana obostranog potpisa Ugovora</v>
      </c>
      <c r="H1724" s="1" t="str">
        <f>CONCATENATE("LUKAČ D.O.O., ZAGREB")</f>
        <v>LUKAČ D.O.O., ZAGREB</v>
      </c>
      <c r="I1724" s="2"/>
      <c r="J1724" s="1"/>
      <c r="K1724" s="2"/>
    </row>
    <row r="1725" spans="1:11" ht="78.75" x14ac:dyDescent="0.25">
      <c r="A1725" s="1" t="str">
        <f>"300/2014"</f>
        <v>300/2014</v>
      </c>
      <c r="B1725" s="1" t="s">
        <v>26</v>
      </c>
      <c r="C1725" s="1" t="s">
        <v>674</v>
      </c>
      <c r="D1725" s="1" t="str">
        <f>"481-2013-EVV"</f>
        <v>481-2013-EVV</v>
      </c>
      <c r="E1725" s="2"/>
      <c r="F1725" s="1" t="str">
        <f>"145.270,00"</f>
        <v>145.270,00</v>
      </c>
      <c r="G1725" s="1" t="str">
        <f>CONCATENATE("07.07.2014.",CHAR(10),"12 mjeseci od dana obostranog potpisa Ugovora")</f>
        <v>07.07.2014.
12 mjeseci od dana obostranog potpisa Ugovora</v>
      </c>
      <c r="H1725" s="1" t="str">
        <f>CONCATENATE("LUKAČ D.O.O., ZAGREB")</f>
        <v>LUKAČ D.O.O., ZAGREB</v>
      </c>
      <c r="I1725" s="2"/>
      <c r="J1725" s="1"/>
      <c r="K1725" s="2"/>
    </row>
    <row r="1726" spans="1:11" ht="78.75" x14ac:dyDescent="0.25">
      <c r="A1726" s="1" t="str">
        <f>"301/2014"</f>
        <v>301/2014</v>
      </c>
      <c r="B1726" s="1" t="s">
        <v>26</v>
      </c>
      <c r="C1726" s="1" t="s">
        <v>675</v>
      </c>
      <c r="D1726" s="1" t="str">
        <f>"481-2013-EVV"</f>
        <v>481-2013-EVV</v>
      </c>
      <c r="E1726" s="2"/>
      <c r="F1726" s="1" t="str">
        <f>"89.622,10"</f>
        <v>89.622,10</v>
      </c>
      <c r="G1726" s="1" t="str">
        <f>CONCATENATE("07.07.2014.",CHAR(10),"12 mjeseci od dana obostranog potpisa Ugovora")</f>
        <v>07.07.2014.
12 mjeseci od dana obostranog potpisa Ugovora</v>
      </c>
      <c r="H1726" s="1" t="str">
        <f>CONCATENATE("LUKAČ D.O.O., ZAGREB")</f>
        <v>LUKAČ D.O.O., ZAGREB</v>
      </c>
      <c r="I1726" s="2"/>
      <c r="J1726" s="1"/>
      <c r="K1726" s="2"/>
    </row>
    <row r="1727" spans="1:11" ht="94.5" x14ac:dyDescent="0.25">
      <c r="A1727" s="1" t="str">
        <f>"302/2014"</f>
        <v>302/2014</v>
      </c>
      <c r="B1727" s="1" t="s">
        <v>26</v>
      </c>
      <c r="C1727" s="1" t="s">
        <v>676</v>
      </c>
      <c r="D1727" s="1" t="str">
        <f>"481-2013-EVV"</f>
        <v>481-2013-EVV</v>
      </c>
      <c r="E1727" s="2"/>
      <c r="F1727" s="1" t="str">
        <f>"140.160,00"</f>
        <v>140.160,00</v>
      </c>
      <c r="G1727" s="1" t="str">
        <f>CONCATENATE("07.07.2014.",CHAR(10),"12 mjeseci od dana obostranog potpisa Ugovora")</f>
        <v>07.07.2014.
12 mjeseci od dana obostranog potpisa Ugovora</v>
      </c>
      <c r="H1727" s="1" t="str">
        <f>CONCATENATE("LUKAČ D.O.O., ZAGREB")</f>
        <v>LUKAČ D.O.O., ZAGREB</v>
      </c>
      <c r="I1727" s="2"/>
      <c r="J1727" s="1"/>
      <c r="K1727" s="2"/>
    </row>
    <row r="1728" spans="1:11" ht="47.25" x14ac:dyDescent="0.25">
      <c r="A1728" s="1" t="str">
        <f>"303/2014"</f>
        <v>303/2014</v>
      </c>
      <c r="B1728" s="1" t="s">
        <v>14</v>
      </c>
      <c r="C1728" s="1" t="s">
        <v>2790</v>
      </c>
      <c r="D1728" s="1" t="str">
        <f>CONCATENATE("1233-2013-EMV",CHAR(10),"2013/S 002-0105390 od 31.12.2013.")</f>
        <v>1233-2013-EMV
2013/S 002-0105390 od 31.12.2013.</v>
      </c>
      <c r="E1728" s="1" t="s">
        <v>15</v>
      </c>
      <c r="F1728" s="1" t="str">
        <f>"198.377,00"</f>
        <v>198.377,00</v>
      </c>
      <c r="G1728" s="1" t="str">
        <f>CONCATENATE("01.07.2014.",CHAR(10),"30 dana od dana uvođenja u posao")</f>
        <v>01.07.2014.
30 dana od dana uvođenja u posao</v>
      </c>
      <c r="H1728" s="1" t="str">
        <f>CONCATENATE("MONTEL D.O.O., ZAGREB")</f>
        <v>MONTEL D.O.O., ZAGREB</v>
      </c>
      <c r="I1728" s="2"/>
      <c r="J1728" s="1"/>
      <c r="K1728" s="2"/>
    </row>
    <row r="1729" spans="1:11" ht="78.75" x14ac:dyDescent="0.25">
      <c r="A1729" s="1" t="str">
        <f>"304/2014"</f>
        <v>304/2014</v>
      </c>
      <c r="B1729" s="1" t="s">
        <v>14</v>
      </c>
      <c r="C1729" s="1" t="s">
        <v>677</v>
      </c>
      <c r="D1729" s="1" t="str">
        <f>CONCATENATE("1608-2014-EMV",CHAR(10),"2014/S 002-0012527 od 13.03.2014.")</f>
        <v>1608-2014-EMV
2014/S 002-0012527 od 13.03.2014.</v>
      </c>
      <c r="E1729" s="1" t="s">
        <v>15</v>
      </c>
      <c r="F1729" s="1" t="str">
        <f>"381.140,00"</f>
        <v>381.140,00</v>
      </c>
      <c r="G1729" s="1" t="str">
        <f>CONCATENATE("07.07.2014.",CHAR(10),"5 mjeseci od dana obostranog potpisa Ugovora")</f>
        <v>07.07.2014.
5 mjeseci od dana obostranog potpisa Ugovora</v>
      </c>
      <c r="H1729" s="1" t="str">
        <f>CONCATENATE("1. Zajednica ponuditelja: ",CHAR(10),"    ING EKSPERT D.O.O., ZAGREB",CHAR(10),"    H5 D.O.O,., BELOVAR",CHAR(10),"    ELVING PROJEKTIRANJE D.O.O., NOVI MAROF")</f>
        <v>1. Zajednica ponuditelja: 
    ING EKSPERT D.O.O., ZAGREB
    H5 D.O.O,., BELOVAR
    ELVING PROJEKTIRANJE D.O.O., NOVI MAROF</v>
      </c>
      <c r="I1729" s="2"/>
      <c r="J1729" s="1"/>
      <c r="K1729" s="2"/>
    </row>
    <row r="1730" spans="1:11" ht="47.25" x14ac:dyDescent="0.25">
      <c r="A1730" s="1" t="str">
        <f>"A-78/2014"</f>
        <v>A-78/2014</v>
      </c>
      <c r="B1730" s="1" t="s">
        <v>11</v>
      </c>
      <c r="C1730" s="1" t="s">
        <v>678</v>
      </c>
      <c r="D1730" s="1" t="str">
        <f>"1691-2013-EMV"</f>
        <v>1691-2013-EMV</v>
      </c>
      <c r="E1730" s="2"/>
      <c r="F1730" s="1" t="str">
        <f>"0,00"</f>
        <v>0,00</v>
      </c>
      <c r="G1730" s="1" t="str">
        <f>CONCATENATE("07.07.2014.",CHAR(10),"15.07.2014.")</f>
        <v>07.07.2014.
15.07.2014.</v>
      </c>
      <c r="H1730" s="1" t="str">
        <f>CONCATENATE("1. Zajednica ponuditelja: ",CHAR(10),"    DELTRON D.O.O., SPLIT",CHAR(10),"    ROTERM D.O.O., SPLIT")</f>
        <v>1. Zajednica ponuditelja: 
    DELTRON D.O.O., SPLIT
    ROTERM D.O.O., SPLIT</v>
      </c>
      <c r="I1730" s="2"/>
      <c r="J1730" s="1"/>
      <c r="K1730" s="2"/>
    </row>
    <row r="1731" spans="1:11" ht="47.25" x14ac:dyDescent="0.25">
      <c r="A1731" s="1" t="str">
        <f>"305/2014"</f>
        <v>305/2014</v>
      </c>
      <c r="B1731" s="1" t="s">
        <v>14</v>
      </c>
      <c r="C1731" s="1" t="s">
        <v>679</v>
      </c>
      <c r="D1731" s="1" t="str">
        <f>"1537-2014-EMV"</f>
        <v>1537-2014-EMV</v>
      </c>
      <c r="E1731" s="1" t="s">
        <v>40</v>
      </c>
      <c r="F1731" s="1" t="str">
        <f>"344.348,00"</f>
        <v>344.348,00</v>
      </c>
      <c r="G1731" s="1" t="str">
        <f>CONCATENATE("01.07.2014.",CHAR(10),"u vremenskom periodu od 7.7.2014 do 25.8.2014")</f>
        <v>01.07.2014.
u vremenskom periodu od 7.7.2014 do 25.8.2014</v>
      </c>
      <c r="H1731" s="1" t="str">
        <f>CONCATENATE("HRVATSKI CRVENI KRIŽ, GRADSKO DRUŠTVO CRVENOG KRIŽA ZAGREB, ZAGREB")</f>
        <v>HRVATSKI CRVENI KRIŽ, GRADSKO DRUŠTVO CRVENOG KRIŽA ZAGREB, ZAGREB</v>
      </c>
      <c r="I1731" s="1" t="s">
        <v>414</v>
      </c>
      <c r="J1731" s="1" t="str">
        <f>SUBSTITUTE(SUBSTITUTE(SUBSTITUTE("344,348.00",".","-"),",","."),"-",",")</f>
        <v>344.348,00</v>
      </c>
      <c r="K1731" s="2"/>
    </row>
    <row r="1732" spans="1:11" ht="63" x14ac:dyDescent="0.25">
      <c r="A1732" s="1" t="str">
        <f>"A-79/2014"</f>
        <v>A-79/2014</v>
      </c>
      <c r="B1732" s="1" t="s">
        <v>11</v>
      </c>
      <c r="C1732" s="1" t="s">
        <v>680</v>
      </c>
      <c r="D1732" s="1" t="str">
        <f>"318-2013-EMV"</f>
        <v>318-2013-EMV</v>
      </c>
      <c r="E1732" s="2"/>
      <c r="F1732" s="1" t="str">
        <f>"0,00"</f>
        <v>0,00</v>
      </c>
      <c r="G1732" s="1" t="str">
        <f>CONCATENATE("07.07.2014.",CHAR(10),"30.09.2014.")</f>
        <v>07.07.2014.
30.09.2014.</v>
      </c>
      <c r="H1732" s="1" t="str">
        <f>CONCATENATE("INŽENJERSKI BIRO D.D., ZAGREB")</f>
        <v>INŽENJERSKI BIRO D.D., ZAGREB</v>
      </c>
      <c r="I1732" s="2"/>
      <c r="J1732" s="1"/>
      <c r="K1732" s="2"/>
    </row>
    <row r="1733" spans="1:11" ht="63" x14ac:dyDescent="0.25">
      <c r="A1733" s="1" t="str">
        <f>"306/2014"</f>
        <v>306/2014</v>
      </c>
      <c r="B1733" s="1" t="s">
        <v>136</v>
      </c>
      <c r="C1733" s="1" t="s">
        <v>2791</v>
      </c>
      <c r="D1733" s="1" t="str">
        <f>CONCATENATE("2014-2154",CHAR(10),"2014/S-002-0019505 od 15.04.2014.")</f>
        <v>2014-2154
2014/S-002-0019505 od 15.04.2014.</v>
      </c>
      <c r="E1733" s="1" t="s">
        <v>366</v>
      </c>
      <c r="F1733" s="1" t="str">
        <f>"8.933.200,00"</f>
        <v>8.933.200,00</v>
      </c>
      <c r="G1733" s="1" t="str">
        <f>CONCATENATE("07.07.2014.",CHAR(10),"2 godine")</f>
        <v>07.07.2014.
2 godine</v>
      </c>
      <c r="H1733" s="1" t="str">
        <f>CONCATENATE("MALI GRM D.O.O., ZAGREB")</f>
        <v>MALI GRM D.O.O., ZAGREB</v>
      </c>
      <c r="I1733" s="2"/>
      <c r="J1733" s="1"/>
      <c r="K1733" s="1" t="s">
        <v>607</v>
      </c>
    </row>
    <row r="1734" spans="1:11" ht="126" x14ac:dyDescent="0.25">
      <c r="A1734" s="1" t="str">
        <f>"307/2014"</f>
        <v>307/2014</v>
      </c>
      <c r="B1734" s="1" t="s">
        <v>136</v>
      </c>
      <c r="C1734" s="1" t="s">
        <v>681</v>
      </c>
      <c r="D1734" s="1" t="str">
        <f>CONCATENATE("Z-2014-1",CHAR(10),"2014/S 002-0011331 od 06.03.2014.")</f>
        <v>Z-2014-1
2014/S 002-0011331 od 06.03.2014.</v>
      </c>
      <c r="E1734" s="1" t="s">
        <v>366</v>
      </c>
      <c r="F1734" s="1" t="str">
        <f>"5.894.180,40"</f>
        <v>5.894.180,40</v>
      </c>
      <c r="G1734" s="1" t="str">
        <f>CONCATENATE("01.07.2014.",CHAR(10),"1 godina")</f>
        <v>01.07.2014.
1 godina</v>
      </c>
      <c r="H1734" s="1" t="str">
        <f>CONCATENATE("1. Zajednica ponuditelja: ",CHAR(10),"    BIRODOM D.O.O., LUČKO",CHAR(10),"    STUBLIĆ IMPEX D.O.O., SESVETE",CHAR(10),"2. NARODNE NOVINE D.D., ZAGREB",CHAR(10),"3. Zajednica ponuditelja: ",CHAR(10),"    ZVIBOR D.O.O., ZAGREB",CHAR(10),"    FOKUS D.O.O., ZAGREB",CHAR(10),"    TIP-ZAGREB D.O.O., ZAGREB")</f>
        <v>1. Zajednica ponuditelja: 
    BIRODOM D.O.O., LUČKO
    STUBLIĆ IMPEX D.O.O., SESVETE
2. NARODNE NOVINE D.D., ZAGREB
3. Zajednica ponuditelja: 
    ZVIBOR D.O.O., ZAGREB
    FOKUS D.O.O., ZAGREB
    TIP-ZAGREB D.O.O., ZAGREB</v>
      </c>
      <c r="I1734" s="2"/>
      <c r="J1734" s="1"/>
      <c r="K1734" s="1" t="s">
        <v>607</v>
      </c>
    </row>
    <row r="1735" spans="1:11" ht="47.25" x14ac:dyDescent="0.25">
      <c r="A1735" s="1" t="str">
        <f>"308/2014"</f>
        <v>308/2014</v>
      </c>
      <c r="B1735" s="1" t="s">
        <v>14</v>
      </c>
      <c r="C1735" s="1" t="s">
        <v>682</v>
      </c>
      <c r="D1735" s="1" t="str">
        <f>CONCATENATE("1225-2014-EVV",CHAR(10),"2014/S-002-0019082 od 11.04.2014.")</f>
        <v>1225-2014-EVV
2014/S-002-0019082 od 11.04.2014.</v>
      </c>
      <c r="E1735" s="1" t="s">
        <v>15</v>
      </c>
      <c r="F1735" s="1" t="str">
        <f>"2.483.515,00"</f>
        <v>2.483.515,00</v>
      </c>
      <c r="G1735" s="1" t="str">
        <f>CONCATENATE("07.07.2014.",CHAR(10),"30 dana od dana obostranog potpisa Ugovora")</f>
        <v>07.07.2014.
30 dana od dana obostranog potpisa Ugovora</v>
      </c>
      <c r="H1735" s="1" t="str">
        <f>CONCATENATE("PRIMAT- LOGISTIKA D.O.O., HRVATSKI LESKOVAC")</f>
        <v>PRIMAT- LOGISTIKA D.O.O., HRVATSKI LESKOVAC</v>
      </c>
      <c r="I1735" s="2"/>
      <c r="J1735" s="1"/>
      <c r="K1735" s="2"/>
    </row>
    <row r="1736" spans="1:11" ht="47.25" x14ac:dyDescent="0.25">
      <c r="A1736" s="1" t="str">
        <f>"309/2014"</f>
        <v>309/2014</v>
      </c>
      <c r="B1736" s="1" t="s">
        <v>14</v>
      </c>
      <c r="C1736" s="1" t="s">
        <v>683</v>
      </c>
      <c r="D1736" s="1" t="str">
        <f>CONCATENATE("1304-2014-EMV",CHAR(10),"2014/S-002-0018240 od 08.04.2014.")</f>
        <v>1304-2014-EMV
2014/S-002-0018240 od 08.04.2014.</v>
      </c>
      <c r="E1736" s="1" t="s">
        <v>15</v>
      </c>
      <c r="F1736" s="1" t="str">
        <f>"1.289.967,00"</f>
        <v>1.289.967,00</v>
      </c>
      <c r="G1736" s="1" t="str">
        <f>CONCATENATE("09.07.2014.",CHAR(10),"90 dana od dana uvođenja u posao")</f>
        <v>09.07.2014.
90 dana od dana uvođenja u posao</v>
      </c>
      <c r="H1736" s="1" t="str">
        <f>CONCATENATE("NERING D.O.O., SESVETE")</f>
        <v>NERING D.O.O., SESVETE</v>
      </c>
      <c r="I1736" s="2"/>
      <c r="J1736" s="1"/>
      <c r="K1736" s="2"/>
    </row>
    <row r="1737" spans="1:11" ht="47.25" x14ac:dyDescent="0.25">
      <c r="A1737" s="1" t="str">
        <f>"310/2014"</f>
        <v>310/2014</v>
      </c>
      <c r="B1737" s="1" t="s">
        <v>14</v>
      </c>
      <c r="C1737" s="1" t="s">
        <v>684</v>
      </c>
      <c r="D1737" s="1" t="str">
        <f>CONCATENATE("1321-2014-EMV",CHAR(10),"2014/S 002-0016803 od 01.04.2014.")</f>
        <v>1321-2014-EMV
2014/S 002-0016803 od 01.04.2014.</v>
      </c>
      <c r="E1737" s="1" t="s">
        <v>15</v>
      </c>
      <c r="F1737" s="1" t="str">
        <f>"999.465,00"</f>
        <v>999.465,00</v>
      </c>
      <c r="G1737" s="1" t="str">
        <f>CONCATENATE("07.07.2014.",CHAR(10),"180 dana od dana uvođenja u posao")</f>
        <v>07.07.2014.
180 dana od dana uvođenja u posao</v>
      </c>
      <c r="H1737" s="1" t="str">
        <f>CONCATENATE("P.G.P. D.O.O., ZAGREB")</f>
        <v>P.G.P. D.O.O., ZAGREB</v>
      </c>
      <c r="I1737" s="2"/>
      <c r="J1737" s="1"/>
      <c r="K1737" s="2"/>
    </row>
    <row r="1738" spans="1:11" ht="47.25" x14ac:dyDescent="0.25">
      <c r="A1738" s="1" t="str">
        <f>"314/2014"</f>
        <v>314/2014</v>
      </c>
      <c r="B1738" s="1" t="s">
        <v>14</v>
      </c>
      <c r="C1738" s="1" t="s">
        <v>685</v>
      </c>
      <c r="D1738" s="1" t="str">
        <f>CONCATENATE("1747-2014-EBV",CHAR(10),"2014/S 015-0028843 od 09.06.2014.")</f>
        <v>1747-2014-EBV
2014/S 015-0028843 od 09.06.2014.</v>
      </c>
      <c r="E1738" s="1" t="s">
        <v>12</v>
      </c>
      <c r="F1738" s="1" t="str">
        <f>"38.000,00"</f>
        <v>38.000,00</v>
      </c>
      <c r="G1738" s="1" t="str">
        <f>CONCATENATE("20.06.2014.",CHAR(10),"90 dana od dana uvođenja u posao")</f>
        <v>20.06.2014.
90 dana od dana uvođenja u posao</v>
      </c>
      <c r="H1738" s="1" t="str">
        <f>CONCATENATE("1. Zajednica ponuditelja: ",CHAR(10),"    EKO-PLAN D.O.O., ZAGREB",CHAR(10),"    LAUREUS PROJEKT D.O.O., ZAGREB")</f>
        <v>1. Zajednica ponuditelja: 
    EKO-PLAN D.O.O., ZAGREB
    LAUREUS PROJEKT D.O.O., ZAGREB</v>
      </c>
      <c r="I1738" s="2"/>
      <c r="J1738" s="1"/>
      <c r="K1738" s="2"/>
    </row>
    <row r="1739" spans="1:11" ht="31.5" x14ac:dyDescent="0.25">
      <c r="A1739" s="1" t="str">
        <f>"A-80/2014"</f>
        <v>A-80/2014</v>
      </c>
      <c r="B1739" s="1" t="s">
        <v>11</v>
      </c>
      <c r="C1739" s="1" t="s">
        <v>686</v>
      </c>
      <c r="D1739" s="1" t="str">
        <f>"516-2013-EMV"</f>
        <v>516-2013-EMV</v>
      </c>
      <c r="E1739" s="2"/>
      <c r="F1739" s="1" t="str">
        <f>"0,00"</f>
        <v>0,00</v>
      </c>
      <c r="G1739" s="1" t="str">
        <f>CONCATENATE("09.07.2014.",CHAR(10),"01.08.2014.")</f>
        <v>09.07.2014.
01.08.2014.</v>
      </c>
      <c r="H1739" s="1" t="str">
        <f>CONCATENATE("HM-PATRIA D.O.O., ZAGREB")</f>
        <v>HM-PATRIA D.O.O., ZAGREB</v>
      </c>
      <c r="I1739" s="2"/>
      <c r="J1739" s="1"/>
      <c r="K1739" s="2"/>
    </row>
    <row r="1740" spans="1:11" ht="78.75" x14ac:dyDescent="0.25">
      <c r="A1740" s="1" t="str">
        <f>"316/2014"</f>
        <v>316/2014</v>
      </c>
      <c r="B1740" s="1" t="s">
        <v>136</v>
      </c>
      <c r="C1740" s="1" t="s">
        <v>2792</v>
      </c>
      <c r="D1740" s="1" t="str">
        <f>CONCATENATE("2014-2154",CHAR(10),"2014/S-002-0019505 od 15.04.2014.")</f>
        <v>2014-2154
2014/S-002-0019505 od 15.04.2014.</v>
      </c>
      <c r="E1740" s="1" t="s">
        <v>366</v>
      </c>
      <c r="F1740" s="1" t="str">
        <f>"23.991.200,00"</f>
        <v>23.991.200,00</v>
      </c>
      <c r="G1740" s="1" t="str">
        <f>CONCATENATE("09.07.2014.",CHAR(10),"2 godine")</f>
        <v>09.07.2014.
2 godine</v>
      </c>
      <c r="H1740" s="1" t="str">
        <f>CONCATENATE("GIP PIONIR D.O.O., ZAGREB")</f>
        <v>GIP PIONIR D.O.O., ZAGREB</v>
      </c>
      <c r="I1740" s="2"/>
      <c r="J1740" s="1"/>
      <c r="K1740" s="1" t="s">
        <v>607</v>
      </c>
    </row>
    <row r="1741" spans="1:11" ht="78.75" x14ac:dyDescent="0.25">
      <c r="A1741" s="1" t="str">
        <f>"317/2014"</f>
        <v>317/2014</v>
      </c>
      <c r="B1741" s="1" t="s">
        <v>136</v>
      </c>
      <c r="C1741" s="1" t="s">
        <v>2793</v>
      </c>
      <c r="D1741" s="1" t="str">
        <f>CONCATENATE("2014-2154",CHAR(10),"2014/S-002-0019505 od 15.04.2014.")</f>
        <v>2014-2154
2014/S-002-0019505 od 15.04.2014.</v>
      </c>
      <c r="E1741" s="1" t="s">
        <v>366</v>
      </c>
      <c r="F1741" s="1" t="str">
        <f>"9.297.950,00"</f>
        <v>9.297.950,00</v>
      </c>
      <c r="G1741" s="1" t="str">
        <f>CONCATENATE("09.07.2014.",CHAR(10),"2 godine")</f>
        <v>09.07.2014.
2 godine</v>
      </c>
      <c r="H1741" s="1" t="str">
        <f>CONCATENATE("RESNIK-BETON D.O.O., SESVETE")</f>
        <v>RESNIK-BETON D.O.O., SESVETE</v>
      </c>
      <c r="I1741" s="2"/>
      <c r="J1741" s="1"/>
      <c r="K1741" s="1" t="s">
        <v>607</v>
      </c>
    </row>
    <row r="1742" spans="1:11" ht="47.25" x14ac:dyDescent="0.25">
      <c r="A1742" s="1" t="str">
        <f>"318/2014"</f>
        <v>318/2014</v>
      </c>
      <c r="B1742" s="1" t="s">
        <v>14</v>
      </c>
      <c r="C1742" s="1" t="s">
        <v>687</v>
      </c>
      <c r="D1742" s="1" t="str">
        <f>CONCATENATE("2014-1801",CHAR(10),"2014/S 002-0023825 od 13.05.2014.")</f>
        <v>2014-1801
2014/S 002-0023825 od 13.05.2014.</v>
      </c>
      <c r="E1742" s="1" t="s">
        <v>15</v>
      </c>
      <c r="F1742" s="1" t="str">
        <f>"174.798,00"</f>
        <v>174.798,00</v>
      </c>
      <c r="G1742" s="1" t="str">
        <f>CONCATENATE("09.07.2014.",CHAR(10),"1 godina od nastanka ugovornog odnosa")</f>
        <v>09.07.2014.
1 godina od nastanka ugovornog odnosa</v>
      </c>
      <c r="H1742" s="1" t="str">
        <f>CONCATENATE("AUTO HRVATSKA AUTODIJELOVI D.O.O., ZAGREB")</f>
        <v>AUTO HRVATSKA AUTODIJELOVI D.O.O., ZAGREB</v>
      </c>
      <c r="I1742" s="2"/>
      <c r="J1742" s="1"/>
      <c r="K1742" s="1" t="s">
        <v>607</v>
      </c>
    </row>
    <row r="1743" spans="1:11" ht="63" x14ac:dyDescent="0.25">
      <c r="A1743" s="1" t="str">
        <f>"320/2014"</f>
        <v>320/2014</v>
      </c>
      <c r="B1743" s="1" t="s">
        <v>136</v>
      </c>
      <c r="C1743" s="1" t="s">
        <v>688</v>
      </c>
      <c r="D1743" s="1" t="str">
        <f>CONCATENATE("2014-107",CHAR(10),"2014/S 002-0014753 od 24.03.2014.")</f>
        <v>2014-107
2014/S 002-0014753 od 24.03.2014.</v>
      </c>
      <c r="E1743" s="1" t="s">
        <v>366</v>
      </c>
      <c r="F1743" s="1" t="str">
        <f>"299.202,00"</f>
        <v>299.202,00</v>
      </c>
      <c r="G1743" s="1" t="str">
        <f>CONCATENATE("08.07.2014.",CHAR(10),"2 godine")</f>
        <v>08.07.2014.
2 godine</v>
      </c>
      <c r="H1743" s="1" t="str">
        <f>CONCATENATE("1. Zajednica ponuditelja: ",CHAR(10),"    VINDIJA D.D., VARAŽDIN",CHAR(10),"    KOKA D.D., VARAŽDIN",CHAR(10),"    VINDON D.O.O., SLAVONSKI BROD")</f>
        <v>1. Zajednica ponuditelja: 
    VINDIJA D.D., VARAŽDIN
    KOKA D.D., VARAŽDIN
    VINDON D.O.O., SLAVONSKI BROD</v>
      </c>
      <c r="I1743" s="2"/>
      <c r="J1743" s="1"/>
      <c r="K1743" s="1" t="s">
        <v>607</v>
      </c>
    </row>
    <row r="1744" spans="1:11" ht="47.25" x14ac:dyDescent="0.25">
      <c r="A1744" s="1" t="str">
        <f>"321/2014"</f>
        <v>321/2014</v>
      </c>
      <c r="B1744" s="1" t="s">
        <v>14</v>
      </c>
      <c r="C1744" s="1" t="s">
        <v>689</v>
      </c>
      <c r="D1744" s="1" t="str">
        <f>CONCATENATE("1597-2014-EMV",CHAR(10),"2014/S 002-0018899 od 10.04.2014.")</f>
        <v>1597-2014-EMV
2014/S 002-0018899 od 10.04.2014.</v>
      </c>
      <c r="E1744" s="1" t="s">
        <v>15</v>
      </c>
      <c r="F1744" s="1" t="str">
        <f>"137.000,00"</f>
        <v>137.000,00</v>
      </c>
      <c r="G1744" s="1" t="str">
        <f>CONCATENATE("10.07.2014.",CHAR(10),"6 mjeseci od dana obostranog potpisa Ugovora")</f>
        <v>10.07.2014.
6 mjeseci od dana obostranog potpisa Ugovora</v>
      </c>
      <c r="H1744" s="1" t="str">
        <f>CONCATENATE("ARHINGTRADE D.O.O., ZAGREB")</f>
        <v>ARHINGTRADE D.O.O., ZAGREB</v>
      </c>
      <c r="I1744" s="2"/>
      <c r="J1744" s="1"/>
      <c r="K1744" s="2"/>
    </row>
    <row r="1745" spans="1:11" ht="47.25" x14ac:dyDescent="0.25">
      <c r="A1745" s="1" t="str">
        <f>"322/2014"</f>
        <v>322/2014</v>
      </c>
      <c r="B1745" s="1" t="s">
        <v>136</v>
      </c>
      <c r="C1745" s="1" t="s">
        <v>690</v>
      </c>
      <c r="D1745" s="1" t="str">
        <f>CONCATENATE("2014-2155",CHAR(10),"2014/S 002-0018748 od 10.04.2014.")</f>
        <v>2014-2155
2014/S 002-0018748 od 10.04.2014.</v>
      </c>
      <c r="E1745" s="1" t="s">
        <v>366</v>
      </c>
      <c r="F1745" s="1" t="str">
        <f>"1.110.000,00"</f>
        <v>1.110.000,00</v>
      </c>
      <c r="G1745" s="1" t="str">
        <f>CONCATENATE("14.07.2014.",CHAR(10),"2 godine")</f>
        <v>14.07.2014.
2 godine</v>
      </c>
      <c r="H1745" s="1" t="str">
        <f>CONCATENATE("ARBORI CULTURA D.O.O., POKUPSKO")</f>
        <v>ARBORI CULTURA D.O.O., POKUPSKO</v>
      </c>
      <c r="I1745" s="2"/>
      <c r="J1745" s="1"/>
      <c r="K1745" s="1" t="s">
        <v>607</v>
      </c>
    </row>
    <row r="1746" spans="1:11" ht="78.75" x14ac:dyDescent="0.25">
      <c r="A1746" s="1" t="str">
        <f>"323/2014"</f>
        <v>323/2014</v>
      </c>
      <c r="B1746" s="1" t="s">
        <v>136</v>
      </c>
      <c r="C1746" s="1" t="s">
        <v>691</v>
      </c>
      <c r="D1746" s="1" t="str">
        <f>CONCATENATE("246-2014-EVV",CHAR(10),"2014/S 002-0015134 od 25.03.2014.")</f>
        <v>246-2014-EVV
2014/S 002-0015134 od 25.03.2014.</v>
      </c>
      <c r="E1746" s="1" t="s">
        <v>366</v>
      </c>
      <c r="F1746" s="1" t="str">
        <f>"9.900.000,00"</f>
        <v>9.900.000,00</v>
      </c>
      <c r="G1746" s="1" t="str">
        <f>CONCATENATE("14.07.2014.",CHAR(10),"2 godine")</f>
        <v>14.07.2014.
2 godine</v>
      </c>
      <c r="H1746" s="1" t="str">
        <f>CONCATENATE("IN2 D.O.O., ZAGREB")</f>
        <v>IN2 D.O.O., ZAGREB</v>
      </c>
      <c r="I1746" s="2"/>
      <c r="J1746" s="1"/>
      <c r="K1746" s="2"/>
    </row>
    <row r="1747" spans="1:11" ht="47.25" x14ac:dyDescent="0.25">
      <c r="A1747" s="1" t="str">
        <f>"324/2014"</f>
        <v>324/2014</v>
      </c>
      <c r="B1747" s="1" t="s">
        <v>14</v>
      </c>
      <c r="C1747" s="1" t="s">
        <v>2794</v>
      </c>
      <c r="D1747" s="1" t="str">
        <f>CONCATENATE("2208-2013-EMV",CHAR(10),"2013/S 002-0072371 od 26.08.2013.")</f>
        <v>2208-2013-EMV
2013/S 002-0072371 od 26.08.2013.</v>
      </c>
      <c r="E1747" s="1" t="s">
        <v>15</v>
      </c>
      <c r="F1747" s="1" t="str">
        <f>"4.294.385,10"</f>
        <v>4.294.385,10</v>
      </c>
      <c r="G1747" s="1" t="str">
        <f>CONCATENATE("14.07.2014.",CHAR(10),"5 mjeseci od dana uvođenja u posao")</f>
        <v>14.07.2014.
5 mjeseci od dana uvođenja u posao</v>
      </c>
      <c r="H1747" s="1" t="str">
        <f>CONCATENATE("1. Zajednica ponuditelja: ",CHAR(10),"    WERKOS D.O.O., OSIJEK",CHAR(10),"    GEODATA PROJEKT D.O.O., ZAGREB")</f>
        <v>1. Zajednica ponuditelja: 
    WERKOS D.O.O., OSIJEK
    GEODATA PROJEKT D.O.O., ZAGREB</v>
      </c>
      <c r="I1747" s="2"/>
      <c r="J1747" s="1"/>
      <c r="K1747" s="2"/>
    </row>
    <row r="1748" spans="1:11" ht="47.25" x14ac:dyDescent="0.25">
      <c r="A1748" s="1" t="str">
        <f>"325/2014"</f>
        <v>325/2014</v>
      </c>
      <c r="B1748" s="1" t="s">
        <v>14</v>
      </c>
      <c r="C1748" s="1" t="s">
        <v>692</v>
      </c>
      <c r="D1748" s="1" t="str">
        <f>CONCATENATE("1375-2014-EMV",CHAR(10),"2014/S 002-0015049 od 25.03.2014.")</f>
        <v>1375-2014-EMV
2014/S 002-0015049 od 25.03.2014.</v>
      </c>
      <c r="E1748" s="1" t="s">
        <v>15</v>
      </c>
      <c r="F1748" s="1" t="str">
        <f>"187.600,00"</f>
        <v>187.600,00</v>
      </c>
      <c r="G1748" s="1" t="str">
        <f>CONCATENATE("14.07.2014.",CHAR(10),"60 dana od obostranog potpisa Ugovora")</f>
        <v>14.07.2014.
60 dana od obostranog potpisa Ugovora</v>
      </c>
      <c r="H1748" s="1" t="str">
        <f>CONCATENATE("FANOS D.O.O., ZAGREB")</f>
        <v>FANOS D.O.O., ZAGREB</v>
      </c>
      <c r="I1748" s="2"/>
      <c r="J1748" s="1"/>
      <c r="K1748" s="2"/>
    </row>
    <row r="1749" spans="1:11" ht="47.25" x14ac:dyDescent="0.25">
      <c r="A1749" s="1" t="str">
        <f>"326/2014"</f>
        <v>326/2014</v>
      </c>
      <c r="B1749" s="1" t="s">
        <v>14</v>
      </c>
      <c r="C1749" s="1" t="s">
        <v>2795</v>
      </c>
      <c r="D1749" s="1" t="str">
        <f>CONCATENATE("2014-2208",CHAR(10),"2014/S 015-0031779 od 01.07.2014.")</f>
        <v>2014-2208
2014/S 015-0031779 od 01.07.2014.</v>
      </c>
      <c r="E1749" s="1" t="s">
        <v>12</v>
      </c>
      <c r="F1749" s="1" t="str">
        <f>"919.869,00"</f>
        <v>919.869,00</v>
      </c>
      <c r="G1749" s="1" t="str">
        <f>CONCATENATE("15.07.2014.",CHAR(10),"30 dana od uvođenja u posao")</f>
        <v>15.07.2014.
30 dana od uvođenja u posao</v>
      </c>
      <c r="H1749" s="1" t="str">
        <f>CONCATENATE("TEH-GRADNJA D.O.O., ZAGREB")</f>
        <v>TEH-GRADNJA D.O.O., ZAGREB</v>
      </c>
      <c r="I1749" s="2"/>
      <c r="J1749" s="1"/>
      <c r="K1749" s="1" t="s">
        <v>607</v>
      </c>
    </row>
    <row r="1750" spans="1:11" ht="47.25" x14ac:dyDescent="0.25">
      <c r="A1750" s="1" t="str">
        <f>"A-81/2014"</f>
        <v>A-81/2014</v>
      </c>
      <c r="B1750" s="1" t="s">
        <v>11</v>
      </c>
      <c r="C1750" s="1" t="s">
        <v>693</v>
      </c>
      <c r="D1750" s="1" t="str">
        <f>"2014-2134"</f>
        <v>2014-2134</v>
      </c>
      <c r="E1750" s="2"/>
      <c r="F1750" s="1" t="str">
        <f>"0,00"</f>
        <v>0,00</v>
      </c>
      <c r="G1750" s="1" t="str">
        <f>"15.07.2014."</f>
        <v>15.07.2014.</v>
      </c>
      <c r="H1750" s="1" t="str">
        <f>CONCATENATE("GIP PIONIR D.O.O., ZAGREB")</f>
        <v>GIP PIONIR D.O.O., ZAGREB</v>
      </c>
      <c r="I1750" s="2"/>
      <c r="J1750" s="1"/>
      <c r="K1750" s="1" t="s">
        <v>607</v>
      </c>
    </row>
    <row r="1751" spans="1:11" ht="47.25" x14ac:dyDescent="0.25">
      <c r="A1751" s="1" t="str">
        <f>"328/2014"</f>
        <v>328/2014</v>
      </c>
      <c r="B1751" s="1" t="s">
        <v>14</v>
      </c>
      <c r="C1751" s="1" t="s">
        <v>694</v>
      </c>
      <c r="D1751" s="1" t="str">
        <f>CONCATENATE("1224-2014-EVV",CHAR(10),"2014/S 002-0014123 od 20.03.2014.")</f>
        <v>1224-2014-EVV
2014/S 002-0014123 od 20.03.2014.</v>
      </c>
      <c r="E1751" s="1" t="s">
        <v>15</v>
      </c>
      <c r="F1751" s="1" t="str">
        <f>"1.600.000,00"</f>
        <v>1.600.000,00</v>
      </c>
      <c r="G1751" s="1" t="str">
        <f>CONCATENATE("15.07.2014.",CHAR(10),"6 mjeseci od obostranog potpisa Ugovora")</f>
        <v>15.07.2014.
6 mjeseci od obostranog potpisa Ugovora</v>
      </c>
      <c r="H1751" s="1" t="str">
        <f>CONCATENATE("SANGRAD D.O.O., ZAGREB")</f>
        <v>SANGRAD D.O.O., ZAGREB</v>
      </c>
      <c r="I1751" s="2"/>
      <c r="J1751" s="1"/>
      <c r="K1751" s="2"/>
    </row>
    <row r="1752" spans="1:11" ht="47.25" x14ac:dyDescent="0.25">
      <c r="A1752" s="1" t="str">
        <f>"329/2014"</f>
        <v>329/2014</v>
      </c>
      <c r="B1752" s="1" t="s">
        <v>14</v>
      </c>
      <c r="C1752" s="1" t="s">
        <v>695</v>
      </c>
      <c r="D1752" s="1" t="str">
        <f>CONCATENATE("2014-336",CHAR(10),"2014/S 002-0023221 od 09.05.2014.")</f>
        <v>2014-336
2014/S 002-0023221 od 09.05.2014.</v>
      </c>
      <c r="E1752" s="1" t="s">
        <v>15</v>
      </c>
      <c r="F1752" s="1" t="str">
        <f>"87.750,00"</f>
        <v>87.750,00</v>
      </c>
      <c r="G1752" s="1" t="str">
        <f>CONCATENATE("11.07.2014.",CHAR(10),"1 godina od obostranog potpisa Ugovora")</f>
        <v>11.07.2014.
1 godina od obostranog potpisa Ugovora</v>
      </c>
      <c r="H1752" s="1" t="str">
        <f>CONCATENATE("AUTO HRVATSKA AUTODIJELOVI D.O.O., ZAGREB")</f>
        <v>AUTO HRVATSKA AUTODIJELOVI D.O.O., ZAGREB</v>
      </c>
      <c r="I1752" s="2"/>
      <c r="J1752" s="1"/>
      <c r="K1752" s="1" t="s">
        <v>607</v>
      </c>
    </row>
    <row r="1753" spans="1:11" ht="47.25" x14ac:dyDescent="0.25">
      <c r="A1753" s="1" t="str">
        <f>"330/2014"</f>
        <v>330/2014</v>
      </c>
      <c r="B1753" s="1" t="s">
        <v>14</v>
      </c>
      <c r="C1753" s="1" t="s">
        <v>696</v>
      </c>
      <c r="D1753" s="1" t="str">
        <f>CONCATENATE("2014-2190",CHAR(10),"2014/S-002-0017781 od 04.04.2014.")</f>
        <v>2014-2190
2014/S-002-0017781 od 04.04.2014.</v>
      </c>
      <c r="E1753" s="1" t="s">
        <v>15</v>
      </c>
      <c r="F1753" s="1" t="str">
        <f>"1.916.400,00"</f>
        <v>1.916.400,00</v>
      </c>
      <c r="G1753" s="1" t="str">
        <f>CONCATENATE("11.07.2014.",CHAR(10),"30 dana od dana potpisa Ugovora")</f>
        <v>11.07.2014.
30 dana od dana potpisa Ugovora</v>
      </c>
      <c r="H1753" s="1" t="str">
        <f>CONCATENATE("GRADATIN D.O.O., SESVETE")</f>
        <v>GRADATIN D.O.O., SESVETE</v>
      </c>
      <c r="I1753" s="1" t="s">
        <v>463</v>
      </c>
      <c r="J1753" s="1" t="str">
        <f>SUBSTITUTE(SUBSTITUTE(SUBSTITUTE("2,395,500.00",".","-"),",","."),"-",",")</f>
        <v>2.395.500,00</v>
      </c>
      <c r="K1753" s="1" t="s">
        <v>607</v>
      </c>
    </row>
    <row r="1754" spans="1:11" ht="47.25" x14ac:dyDescent="0.25">
      <c r="A1754" s="1" t="str">
        <f>"331/2014"</f>
        <v>331/2014</v>
      </c>
      <c r="B1754" s="1" t="s">
        <v>14</v>
      </c>
      <c r="C1754" s="1" t="s">
        <v>697</v>
      </c>
      <c r="D1754" s="1" t="str">
        <f>CONCATENATE("2014-2190",CHAR(10),"2014/S 002-0017781 od 04.04.2014.")</f>
        <v>2014-2190
2014/S 002-0017781 od 04.04.2014.</v>
      </c>
      <c r="E1754" s="1" t="s">
        <v>15</v>
      </c>
      <c r="F1754" s="1" t="str">
        <f>"1.935.300,00"</f>
        <v>1.935.300,00</v>
      </c>
      <c r="G1754" s="1" t="str">
        <f>CONCATENATE("11.07.2014.",CHAR(10),"30 dana od dana potpisa Ugovora")</f>
        <v>11.07.2014.
30 dana od dana potpisa Ugovora</v>
      </c>
      <c r="H1754" s="1" t="str">
        <f>CONCATENATE("GRADATIN D.O.O., SESVETE")</f>
        <v>GRADATIN D.O.O., SESVETE</v>
      </c>
      <c r="I1754" s="1" t="s">
        <v>314</v>
      </c>
      <c r="J1754" s="1" t="str">
        <f>SUBSTITUTE(SUBSTITUTE(SUBSTITUTE("2,419,125.00",".","-"),",","."),"-",",")</f>
        <v>2.419.125,00</v>
      </c>
      <c r="K1754" s="1" t="s">
        <v>607</v>
      </c>
    </row>
    <row r="1755" spans="1:11" ht="47.25" x14ac:dyDescent="0.25">
      <c r="A1755" s="1" t="str">
        <f>"332/2014"</f>
        <v>332/2014</v>
      </c>
      <c r="B1755" s="1" t="s">
        <v>14</v>
      </c>
      <c r="C1755" s="1" t="s">
        <v>698</v>
      </c>
      <c r="D1755" s="1" t="str">
        <f>CONCATENATE("2014-2190",CHAR(10),"2014/S 002-0017781 od 04.04.2014.")</f>
        <v>2014-2190
2014/S 002-0017781 od 04.04.2014.</v>
      </c>
      <c r="E1755" s="1" t="s">
        <v>15</v>
      </c>
      <c r="F1755" s="1" t="str">
        <f>"1.935.300,00"</f>
        <v>1.935.300,00</v>
      </c>
      <c r="G1755" s="1" t="str">
        <f>CONCATENATE("11.07.2014.",CHAR(10),"30 dana od dana potpisa Ugovora")</f>
        <v>11.07.2014.
30 dana od dana potpisa Ugovora</v>
      </c>
      <c r="H1755" s="1" t="str">
        <f>CONCATENATE("GRADATIN D.O.O., SESVETE")</f>
        <v>GRADATIN D.O.O., SESVETE</v>
      </c>
      <c r="I1755" s="1" t="s">
        <v>580</v>
      </c>
      <c r="J1755" s="1" t="str">
        <f>SUBSTITUTE(SUBSTITUTE(SUBSTITUTE("2,072,625.00",".","-"),",","."),"-",",")</f>
        <v>2.072.625,00</v>
      </c>
      <c r="K1755" s="1" t="s">
        <v>607</v>
      </c>
    </row>
    <row r="1756" spans="1:11" ht="47.25" x14ac:dyDescent="0.25">
      <c r="A1756" s="1" t="str">
        <f>"333/2014"</f>
        <v>333/2014</v>
      </c>
      <c r="B1756" s="1" t="s">
        <v>14</v>
      </c>
      <c r="C1756" s="1" t="s">
        <v>699</v>
      </c>
      <c r="D1756" s="1" t="str">
        <f>CONCATENATE("2014-2190",CHAR(10),"2014/S 002-0017781 od 04.04.2014.")</f>
        <v>2014-2190
2014/S 002-0017781 od 04.04.2014.</v>
      </c>
      <c r="E1756" s="1" t="s">
        <v>15</v>
      </c>
      <c r="F1756" s="1" t="str">
        <f>"357.750,00"</f>
        <v>357.750,00</v>
      </c>
      <c r="G1756" s="1" t="str">
        <f>CONCATENATE("11.07.2014.",CHAR(10),"30 dana od dana potpisa Ugovora")</f>
        <v>11.07.2014.
30 dana od dana potpisa Ugovora</v>
      </c>
      <c r="H1756" s="1" t="str">
        <f>CONCATENATE("GRADATIN D.O.O., SESVETE")</f>
        <v>GRADATIN D.O.O., SESVETE</v>
      </c>
      <c r="I1756" s="1" t="s">
        <v>546</v>
      </c>
      <c r="J1756" s="1" t="str">
        <f>SUBSTITUTE(SUBSTITUTE(SUBSTITUTE("447,187.50",".","-"),",","."),"-",",")</f>
        <v>447.187,50</v>
      </c>
      <c r="K1756" s="1" t="s">
        <v>607</v>
      </c>
    </row>
    <row r="1757" spans="1:11" ht="47.25" x14ac:dyDescent="0.25">
      <c r="A1757" s="1" t="str">
        <f>"334/2014"</f>
        <v>334/2014</v>
      </c>
      <c r="B1757" s="1" t="s">
        <v>14</v>
      </c>
      <c r="C1757" s="1" t="s">
        <v>700</v>
      </c>
      <c r="D1757" s="1" t="str">
        <f>CONCATENATE("2014-2190",CHAR(10),"2014/S 002-0017781 od 04.04.2014.")</f>
        <v>2014-2190
2014/S 002-0017781 od 04.04.2014.</v>
      </c>
      <c r="E1757" s="1" t="s">
        <v>15</v>
      </c>
      <c r="F1757" s="1" t="str">
        <f>"319.455,00"</f>
        <v>319.455,00</v>
      </c>
      <c r="G1757" s="1" t="str">
        <f>CONCATENATE("11.07.2014.",CHAR(10),"30 dana od dana potpisa Ugovora")</f>
        <v>11.07.2014.
30 dana od dana potpisa Ugovora</v>
      </c>
      <c r="H1757" s="1" t="str">
        <f>CONCATENATE("GRADATIN D.O.O., SESVETE")</f>
        <v>GRADATIN D.O.O., SESVETE</v>
      </c>
      <c r="I1757" s="1" t="s">
        <v>452</v>
      </c>
      <c r="J1757" s="1" t="str">
        <f>SUBSTITUTE(SUBSTITUTE(SUBSTITUTE("399,318.75",".","-"),",","."),"-",",")</f>
        <v>399.318,75</v>
      </c>
      <c r="K1757" s="1" t="s">
        <v>607</v>
      </c>
    </row>
    <row r="1758" spans="1:11" ht="47.25" x14ac:dyDescent="0.25">
      <c r="A1758" s="1" t="str">
        <f>"A-82/2014"</f>
        <v>A-82/2014</v>
      </c>
      <c r="B1758" s="1" t="s">
        <v>11</v>
      </c>
      <c r="C1758" s="1" t="s">
        <v>701</v>
      </c>
      <c r="D1758" s="1" t="str">
        <f>"180-2013-EMV"</f>
        <v>180-2013-EMV</v>
      </c>
      <c r="E1758" s="2"/>
      <c r="F1758" s="1" t="str">
        <f>"0,00"</f>
        <v>0,00</v>
      </c>
      <c r="G1758" s="1" t="str">
        <f>CONCATENATE("30.04.2014.",CHAR(10),"Do sklapanja novog ugovora nakon provedenog postupka")</f>
        <v>30.04.2014.
Do sklapanja novog ugovora nakon provedenog postupka</v>
      </c>
      <c r="H1758" s="1" t="str">
        <f>CONCATENATE("MEDIA POLIS D.O.O., ZAGREB")</f>
        <v>MEDIA POLIS D.O.O., ZAGREB</v>
      </c>
      <c r="I1758" s="2"/>
      <c r="J1758" s="1"/>
      <c r="K1758" s="2"/>
    </row>
    <row r="1759" spans="1:11" ht="47.25" x14ac:dyDescent="0.25">
      <c r="A1759" s="1" t="str">
        <f>"A-83/2014"</f>
        <v>A-83/2014</v>
      </c>
      <c r="B1759" s="1" t="s">
        <v>11</v>
      </c>
      <c r="C1759" s="1" t="s">
        <v>702</v>
      </c>
      <c r="D1759" s="1" t="str">
        <f>"2014-2222"</f>
        <v>2014-2222</v>
      </c>
      <c r="E1759" s="2"/>
      <c r="F1759" s="1" t="str">
        <f>"0,00"</f>
        <v>0,00</v>
      </c>
      <c r="G1759" s="1" t="str">
        <f>"16.07.2014."</f>
        <v>16.07.2014.</v>
      </c>
      <c r="H1759" s="1" t="str">
        <f>CONCATENATE("GEORAD D.O.O., ZAGREB")</f>
        <v>GEORAD D.O.O., ZAGREB</v>
      </c>
      <c r="I1759" s="2"/>
      <c r="J1759" s="1"/>
      <c r="K1759" s="1" t="s">
        <v>607</v>
      </c>
    </row>
    <row r="1760" spans="1:11" ht="63" x14ac:dyDescent="0.25">
      <c r="A1760" s="1" t="str">
        <f>"335/2014"</f>
        <v>335/2014</v>
      </c>
      <c r="B1760" s="1" t="s">
        <v>14</v>
      </c>
      <c r="C1760" s="1" t="s">
        <v>703</v>
      </c>
      <c r="D1760" s="1" t="str">
        <f>CONCATENATE("1334-2014-EBV",CHAR(10),"2014/S 015-0029365 od 12.06.2014.")</f>
        <v>1334-2014-EBV
2014/S 015-0029365 od 12.06.2014.</v>
      </c>
      <c r="E1760" s="1" t="s">
        <v>12</v>
      </c>
      <c r="F1760" s="1" t="str">
        <f>"413.421,93"</f>
        <v>413.421,93</v>
      </c>
      <c r="G1760" s="1" t="str">
        <f>CONCATENATE("23.06.2014.",CHAR(10),"20 dana od dana uvođenja u posao")</f>
        <v>23.06.2014.
20 dana od dana uvođenja u posao</v>
      </c>
      <c r="H1760" s="1" t="str">
        <f>CONCATENATE("1. Zajednica ponuditelja: ",CHAR(10),"    VODOTEHNIKA D.D., ZAGREB",CHAR(10),"    GNP TERMOMONT D.O.O., ZAGREB",CHAR(10),"    SOKOL D.O.O., VINKOVCI")</f>
        <v>1. Zajednica ponuditelja: 
    VODOTEHNIKA D.D., ZAGREB
    GNP TERMOMONT D.O.O., ZAGREB
    SOKOL D.O.O., VINKOVCI</v>
      </c>
      <c r="I1760" s="2"/>
      <c r="J1760" s="1"/>
      <c r="K1760" s="2"/>
    </row>
    <row r="1761" spans="1:11" ht="78.75" x14ac:dyDescent="0.25">
      <c r="A1761" s="1" t="str">
        <f>"337/2014"</f>
        <v>337/2014</v>
      </c>
      <c r="B1761" s="1" t="s">
        <v>136</v>
      </c>
      <c r="C1761" s="1" t="s">
        <v>704</v>
      </c>
      <c r="D1761" s="1" t="str">
        <f>CONCATENATE("2014-52",CHAR(10),"2014/S 002-0023248 od 9.5.2014. i ispravak objave 2014/S 014-0023876 od 13.05.2014.")</f>
        <v>2014-52
2014/S 002-0023248 od 9.5.2014. i ispravak objave 2014/S 014-0023876 od 13.05.2014.</v>
      </c>
      <c r="E1761" s="1" t="s">
        <v>366</v>
      </c>
      <c r="F1761" s="1" t="str">
        <f>"699.876,00"</f>
        <v>699.876,00</v>
      </c>
      <c r="G1761" s="1" t="str">
        <f>CONCATENATE("14.07.2014.",CHAR(10),"2 godine")</f>
        <v>14.07.2014.
2 godine</v>
      </c>
      <c r="H1761" s="1" t="str">
        <f>CONCATENATE("MIKRA MATIK AUTODIJELOVI D.O.O., SESVETE")</f>
        <v>MIKRA MATIK AUTODIJELOVI D.O.O., SESVETE</v>
      </c>
      <c r="I1761" s="2"/>
      <c r="J1761" s="1"/>
      <c r="K1761" s="1" t="s">
        <v>607</v>
      </c>
    </row>
    <row r="1762" spans="1:11" ht="47.25" x14ac:dyDescent="0.25">
      <c r="A1762" s="1" t="str">
        <f>"338/2014"</f>
        <v>338/2014</v>
      </c>
      <c r="B1762" s="1" t="s">
        <v>136</v>
      </c>
      <c r="C1762" s="1" t="s">
        <v>705</v>
      </c>
      <c r="D1762" s="1" t="str">
        <f>CONCATENATE("2014-2200",CHAR(10),"2014/S 002-0022475 od 05.05.2014.")</f>
        <v>2014-2200
2014/S 002-0022475 od 05.05.2014.</v>
      </c>
      <c r="E1762" s="1" t="s">
        <v>366</v>
      </c>
      <c r="F1762" s="1" t="str">
        <f>"1.800.000,00"</f>
        <v>1.800.000,00</v>
      </c>
      <c r="G1762" s="1" t="str">
        <f>CONCATENATE("11.07.2014.",CHAR(10),"2 godine")</f>
        <v>11.07.2014.
2 godine</v>
      </c>
      <c r="H1762" s="1" t="str">
        <f>CONCATENATE("TROL DK D.O.O., ZAGREB")</f>
        <v>TROL DK D.O.O., ZAGREB</v>
      </c>
      <c r="I1762" s="2"/>
      <c r="J1762" s="1"/>
      <c r="K1762" s="1" t="s">
        <v>607</v>
      </c>
    </row>
    <row r="1763" spans="1:11" ht="47.25" x14ac:dyDescent="0.25">
      <c r="A1763" s="1" t="str">
        <f>"339/2014"</f>
        <v>339/2014</v>
      </c>
      <c r="B1763" s="1" t="s">
        <v>136</v>
      </c>
      <c r="C1763" s="1" t="s">
        <v>706</v>
      </c>
      <c r="D1763" s="1" t="str">
        <f>CONCATENATE("2014-573",CHAR(10),"2014/S 002-0022498 od 05.05.2014.")</f>
        <v>2014-573
2014/S 002-0022498 od 05.05.2014.</v>
      </c>
      <c r="E1763" s="1" t="s">
        <v>366</v>
      </c>
      <c r="F1763" s="1" t="str">
        <f>"3.694.684,14"</f>
        <v>3.694.684,14</v>
      </c>
      <c r="G1763" s="1" t="str">
        <f>CONCATENATE("11.07.2014.",CHAR(10),"2 godine")</f>
        <v>11.07.2014.
2 godine</v>
      </c>
      <c r="H1763" s="1" t="str">
        <f>CONCATENATE("ELEKTROKEM D.O.O., SESVETE")</f>
        <v>ELEKTROKEM D.O.O., SESVETE</v>
      </c>
      <c r="I1763" s="2"/>
      <c r="J1763" s="1"/>
      <c r="K1763" s="1" t="s">
        <v>607</v>
      </c>
    </row>
    <row r="1764" spans="1:11" ht="47.25" x14ac:dyDescent="0.25">
      <c r="A1764" s="1" t="str">
        <f>"340/2014"</f>
        <v>340/2014</v>
      </c>
      <c r="B1764" s="1" t="s">
        <v>26</v>
      </c>
      <c r="C1764" s="1" t="s">
        <v>2796</v>
      </c>
      <c r="D1764" s="1" t="str">
        <f>"391-2012-EMV"</f>
        <v>391-2012-EMV</v>
      </c>
      <c r="E1764" s="2"/>
      <c r="F1764" s="1" t="str">
        <f>"142.332,84"</f>
        <v>142.332,84</v>
      </c>
      <c r="G1764" s="1" t="str">
        <f>CONCATENATE("18.07.2014.",CHAR(10),"1 godina")</f>
        <v>18.07.2014.
1 godina</v>
      </c>
      <c r="H1764" s="1" t="str">
        <f>CONCATENATE("SUNCE OSIGURANJE D.D., ZAGREB")</f>
        <v>SUNCE OSIGURANJE D.D., ZAGREB</v>
      </c>
      <c r="I1764" s="2"/>
      <c r="J1764" s="1"/>
      <c r="K1764" s="2"/>
    </row>
    <row r="1765" spans="1:11" ht="47.25" x14ac:dyDescent="0.25">
      <c r="A1765" s="1" t="str">
        <f>"A-84/2014"</f>
        <v>A-84/2014</v>
      </c>
      <c r="B1765" s="1" t="s">
        <v>11</v>
      </c>
      <c r="C1765" s="1" t="s">
        <v>707</v>
      </c>
      <c r="D1765" s="1" t="str">
        <f>"2014-2139"</f>
        <v>2014-2139</v>
      </c>
      <c r="E1765" s="2"/>
      <c r="F1765" s="1" t="str">
        <f>"0,00"</f>
        <v>0,00</v>
      </c>
      <c r="G1765" s="1" t="str">
        <f>"21.07.2014."</f>
        <v>21.07.2014.</v>
      </c>
      <c r="H1765" s="1" t="str">
        <f>CONCATENATE("1. Zajednica ponuditelja: ",CHAR(10),"    INSTAL-PROM D.O.O., ZAGREB",CHAR(10),"    GEO 6 D.O.O, ZAGREB-SUSEDGRAD")</f>
        <v>1. Zajednica ponuditelja: 
    INSTAL-PROM D.O.O., ZAGREB
    GEO 6 D.O.O, ZAGREB-SUSEDGRAD</v>
      </c>
      <c r="I1765" s="2"/>
      <c r="J1765" s="1"/>
      <c r="K1765" s="1" t="s">
        <v>607</v>
      </c>
    </row>
    <row r="1766" spans="1:11" ht="47.25" x14ac:dyDescent="0.25">
      <c r="A1766" s="1" t="str">
        <f>"342/2014"</f>
        <v>342/2014</v>
      </c>
      <c r="B1766" s="1" t="s">
        <v>14</v>
      </c>
      <c r="C1766" s="1" t="s">
        <v>708</v>
      </c>
      <c r="D1766" s="1" t="str">
        <f>"760-2014-EBV"</f>
        <v>760-2014-EBV</v>
      </c>
      <c r="E1766" s="1" t="s">
        <v>12</v>
      </c>
      <c r="F1766" s="1" t="str">
        <f>"47.693,00"</f>
        <v>47.693,00</v>
      </c>
      <c r="G1766" s="1" t="str">
        <f>CONCATENATE("10.07.2014.",CHAR(10),"2 mjeseca od dana uvođenja u posao")</f>
        <v>10.07.2014.
2 mjeseca od dana uvođenja u posao</v>
      </c>
      <c r="H1766" s="1" t="str">
        <f>CONCATENATE("TELEKTRA D.O.O., SESVETE")</f>
        <v>TELEKTRA D.O.O., SESVETE</v>
      </c>
      <c r="I1766" s="2"/>
      <c r="J1766" s="1"/>
      <c r="K1766" s="2"/>
    </row>
    <row r="1767" spans="1:11" ht="63" x14ac:dyDescent="0.25">
      <c r="A1767" s="1" t="str">
        <f>"343/2014"</f>
        <v>343/2014</v>
      </c>
      <c r="B1767" s="1" t="s">
        <v>14</v>
      </c>
      <c r="C1767" s="1" t="s">
        <v>709</v>
      </c>
      <c r="D1767" s="1" t="str">
        <f>CONCATENATE("1685-2014-EVV",CHAR(10),"2014/S 015-0025159 od 20.05.2014.")</f>
        <v>1685-2014-EVV
2014/S 015-0025159 od 20.05.2014.</v>
      </c>
      <c r="E1767" s="1" t="s">
        <v>40</v>
      </c>
      <c r="F1767" s="1" t="str">
        <f>"420.000,00"</f>
        <v>420.000,00</v>
      </c>
      <c r="G1767" s="1" t="str">
        <f>CONCATENATE("17.07.2014.",CHAR(10),"6 mjeseci od dana obostranog potpisa Ugovora")</f>
        <v>17.07.2014.
6 mjeseci od dana obostranog potpisa Ugovora</v>
      </c>
      <c r="H1767" s="1" t="str">
        <f>CONCATENATE("SPECIJALNA BOLNICA ZA MEDICINSKU REHABILITACIJU KRAPINSKE TOPLICE, KRAPINSKE TOPLICE")</f>
        <v>SPECIJALNA BOLNICA ZA MEDICINSKU REHABILITACIJU KRAPINSKE TOPLICE, KRAPINSKE TOPLICE</v>
      </c>
      <c r="I1767" s="1" t="s">
        <v>710</v>
      </c>
      <c r="J1767" s="1" t="str">
        <f>SUBSTITUTE(SUBSTITUTE(SUBSTITUTE("408,300.00",".","-"),",","."),"-",",")</f>
        <v>408.300,00</v>
      </c>
      <c r="K1767" s="2"/>
    </row>
    <row r="1768" spans="1:11" ht="47.25" x14ac:dyDescent="0.25">
      <c r="A1768" s="1" t="str">
        <f>"344/2014"</f>
        <v>344/2014</v>
      </c>
      <c r="B1768" s="1" t="s">
        <v>14</v>
      </c>
      <c r="C1768" s="1" t="s">
        <v>711</v>
      </c>
      <c r="D1768" s="1" t="str">
        <f>CONCATENATE("2438-2014-EBV",CHAR(10),"2014/S 015-0033156 od 09.07.2014.")</f>
        <v>2438-2014-EBV
2014/S 015-0033156 od 09.07.2014.</v>
      </c>
      <c r="E1768" s="1" t="s">
        <v>12</v>
      </c>
      <c r="F1768" s="1" t="str">
        <f>"79.707,90"</f>
        <v>79.707,90</v>
      </c>
      <c r="G1768" s="1" t="str">
        <f>CONCATENATE("21.07.2014.",CHAR(10),"10 dana od dana uvođenja u posao")</f>
        <v>21.07.2014.
10 dana od dana uvođenja u posao</v>
      </c>
      <c r="H1768" s="1" t="str">
        <f>CONCATENATE("ŠUŠKOVIĆ-GRAĐENJE D.O.O., ZAGREB")</f>
        <v>ŠUŠKOVIĆ-GRAĐENJE D.O.O., ZAGREB</v>
      </c>
      <c r="I1768" s="2"/>
      <c r="J1768" s="1"/>
      <c r="K1768" s="2"/>
    </row>
    <row r="1769" spans="1:11" ht="63" x14ac:dyDescent="0.25">
      <c r="A1769" s="1" t="str">
        <f>"346/2014"</f>
        <v>346/2014</v>
      </c>
      <c r="B1769" s="1" t="s">
        <v>14</v>
      </c>
      <c r="C1769" s="1" t="s">
        <v>712</v>
      </c>
      <c r="D1769" s="1" t="str">
        <f>"2499-2014-EBV"</f>
        <v>2499-2014-EBV</v>
      </c>
      <c r="E1769" s="1" t="s">
        <v>12</v>
      </c>
      <c r="F1769" s="1" t="str">
        <f>"325.782,00"</f>
        <v>325.782,00</v>
      </c>
      <c r="G1769" s="1" t="str">
        <f>CONCATENATE("21.07.2014.",CHAR(10),"30 dana od dana uvođenja u posao")</f>
        <v>21.07.2014.
30 dana od dana uvođenja u posao</v>
      </c>
      <c r="H1769" s="1" t="str">
        <f>CONCATENATE("1. Zajednica ponuditelja: ",CHAR(10),"    M. SOLDO D.O.O., ZAGREB",CHAR(10),"    GEOGIS D.O.O., ZAGREB",CHAR(10),"    CSS D.O.O., ZAGREB")</f>
        <v>1. Zajednica ponuditelja: 
    M. SOLDO D.O.O., ZAGREB
    GEOGIS D.O.O., ZAGREB
    CSS D.O.O., ZAGREB</v>
      </c>
      <c r="I1769" s="2"/>
      <c r="J1769" s="1"/>
      <c r="K1769" s="2"/>
    </row>
    <row r="1770" spans="1:11" ht="47.25" x14ac:dyDescent="0.25">
      <c r="A1770" s="1" t="str">
        <f>"347/2014"</f>
        <v>347/2014</v>
      </c>
      <c r="B1770" s="1" t="s">
        <v>136</v>
      </c>
      <c r="C1770" s="1" t="s">
        <v>713</v>
      </c>
      <c r="D1770" s="1" t="str">
        <f>CONCATENATE("2014-220",CHAR(10),"2014/S 002-0020782 od 23.04.2014.")</f>
        <v>2014-220
2014/S 002-0020782 od 23.04.2014.</v>
      </c>
      <c r="E1770" s="1" t="s">
        <v>366</v>
      </c>
      <c r="F1770" s="1" t="str">
        <f>"417.384,00"</f>
        <v>417.384,00</v>
      </c>
      <c r="G1770" s="1" t="str">
        <f>CONCATENATE("18.07.2014.",CHAR(10),"2 godine")</f>
        <v>18.07.2014.
2 godine</v>
      </c>
      <c r="H1770" s="1" t="str">
        <f>CONCATENATE("ELCAB D.O.O., ZAGREB-SLOBOŠTINA",CHAR(10),"INDUSTROOPREMA D.O.O, ZAGREB",CHAR(10),"BRODOMETALURGIJA, SPLIT")</f>
        <v>ELCAB D.O.O., ZAGREB-SLOBOŠTINA
INDUSTROOPREMA D.O.O, ZAGREB
BRODOMETALURGIJA, SPLIT</v>
      </c>
      <c r="I1770" s="2"/>
      <c r="J1770" s="1"/>
      <c r="K1770" s="1" t="s">
        <v>607</v>
      </c>
    </row>
    <row r="1771" spans="1:11" ht="47.25" x14ac:dyDescent="0.25">
      <c r="A1771" s="1" t="str">
        <f>"348/2014"</f>
        <v>348/2014</v>
      </c>
      <c r="B1771" s="1" t="s">
        <v>14</v>
      </c>
      <c r="C1771" s="1" t="s">
        <v>714</v>
      </c>
      <c r="D1771" s="1" t="str">
        <f>CONCATENATE("1332-2014-EMV",CHAR(10),"2014/S 002-0022298 od 02.05.2014.")</f>
        <v>1332-2014-EMV
2014/S 002-0022298 od 02.05.2014.</v>
      </c>
      <c r="E1771" s="1" t="s">
        <v>15</v>
      </c>
      <c r="F1771" s="1" t="str">
        <f>"715.851,50"</f>
        <v>715.851,50</v>
      </c>
      <c r="G1771" s="1" t="str">
        <f>CONCATENATE("22.07.2014.",CHAR(10),"90 dana od dana uvođenja u posao")</f>
        <v>22.07.2014.
90 dana od dana uvođenja u posao</v>
      </c>
      <c r="H1771" s="1" t="str">
        <f>CONCATENATE("GIP PIONIR D.O.O., ZAGREB")</f>
        <v>GIP PIONIR D.O.O., ZAGREB</v>
      </c>
      <c r="I1771" s="2"/>
      <c r="J1771" s="1"/>
      <c r="K1771" s="2"/>
    </row>
    <row r="1772" spans="1:11" ht="63" x14ac:dyDescent="0.25">
      <c r="A1772" s="1" t="str">
        <f>"349/2014"</f>
        <v>349/2014</v>
      </c>
      <c r="B1772" s="1" t="s">
        <v>14</v>
      </c>
      <c r="C1772" s="1" t="s">
        <v>715</v>
      </c>
      <c r="D1772" s="1" t="str">
        <f>CONCATENATE("1297-2014-EMV",CHAR(10),"2014/S 002-0017623 od 04.04.2014.")</f>
        <v>1297-2014-EMV
2014/S 002-0017623 od 04.04.2014.</v>
      </c>
      <c r="E1772" s="1" t="s">
        <v>15</v>
      </c>
      <c r="F1772" s="1" t="str">
        <f>"180.000,00"</f>
        <v>180.000,00</v>
      </c>
      <c r="G1772" s="1" t="str">
        <f>CONCATENATE("21.07.2014.",CHAR(10),"12 mjeseci od dana uvođenja u posao")</f>
        <v>21.07.2014.
12 mjeseci od dana uvođenja u posao</v>
      </c>
      <c r="H1772" s="1" t="str">
        <f>CONCATENATE("USLUŽNI OBRT ''INKI DINKI'', ZAGREB")</f>
        <v>USLUŽNI OBRT ''INKI DINKI'', ZAGREB</v>
      </c>
      <c r="I1772" s="2"/>
      <c r="J1772" s="1"/>
      <c r="K1772" s="2"/>
    </row>
    <row r="1773" spans="1:11" ht="47.25" x14ac:dyDescent="0.25">
      <c r="A1773" s="1" t="str">
        <f>"350/2014"</f>
        <v>350/2014</v>
      </c>
      <c r="B1773" s="1" t="s">
        <v>136</v>
      </c>
      <c r="C1773" s="1" t="s">
        <v>716</v>
      </c>
      <c r="D1773" s="1" t="str">
        <f>CONCATENATE("2014-107",CHAR(10),"2014/S 002-0014753 od 24.03.2014.")</f>
        <v>2014-107
2014/S 002-0014753 od 24.03.2014.</v>
      </c>
      <c r="E1773" s="1" t="s">
        <v>366</v>
      </c>
      <c r="F1773" s="1" t="str">
        <f>"1.349.960,00"</f>
        <v>1.349.960,00</v>
      </c>
      <c r="G1773" s="1" t="str">
        <f>CONCATENATE("23.07.2014.",CHAR(10),"2 godine")</f>
        <v>23.07.2014.
2 godine</v>
      </c>
      <c r="H1773" s="1" t="str">
        <f>CONCATENATE("PIK VRBOVEC-MESNA INDUSTRIJA D.D., VRBOVEC")</f>
        <v>PIK VRBOVEC-MESNA INDUSTRIJA D.D., VRBOVEC</v>
      </c>
      <c r="I1773" s="2"/>
      <c r="J1773" s="1"/>
      <c r="K1773" s="1" t="s">
        <v>607</v>
      </c>
    </row>
    <row r="1774" spans="1:11" ht="31.5" x14ac:dyDescent="0.25">
      <c r="A1774" s="1" t="str">
        <f>"A-85/2014"</f>
        <v>A-85/2014</v>
      </c>
      <c r="B1774" s="1" t="s">
        <v>11</v>
      </c>
      <c r="C1774" s="1" t="s">
        <v>717</v>
      </c>
      <c r="D1774" s="1" t="str">
        <f>"1273-2013-EMV"</f>
        <v>1273-2013-EMV</v>
      </c>
      <c r="E1774" s="2"/>
      <c r="F1774" s="1" t="str">
        <f>"0,00"</f>
        <v>0,00</v>
      </c>
      <c r="G1774" s="1" t="str">
        <f>CONCATENATE("22.07.2014.",CHAR(10),"17.8.2014")</f>
        <v>22.07.2014.
17.8.2014</v>
      </c>
      <c r="H1774" s="1" t="str">
        <f>CONCATENATE("PISMORAD D.D., ZAGREB")</f>
        <v>PISMORAD D.D., ZAGREB</v>
      </c>
      <c r="I1774" s="2"/>
      <c r="J1774" s="1"/>
      <c r="K1774" s="2"/>
    </row>
    <row r="1775" spans="1:11" ht="63" x14ac:dyDescent="0.25">
      <c r="A1775" s="1" t="str">
        <f>"A-86/2014"</f>
        <v>A-86/2014</v>
      </c>
      <c r="B1775" s="1" t="s">
        <v>11</v>
      </c>
      <c r="C1775" s="1" t="s">
        <v>718</v>
      </c>
      <c r="D1775" s="1" t="str">
        <f>"1642-2013-EMV"</f>
        <v>1642-2013-EMV</v>
      </c>
      <c r="E1775" s="2"/>
      <c r="F1775" s="1" t="str">
        <f>"0,00"</f>
        <v>0,00</v>
      </c>
      <c r="G1775" s="1" t="str">
        <f>CONCATENATE("23.07.2014.",CHAR(10),"30.8.2014")</f>
        <v>23.07.2014.
30.8.2014</v>
      </c>
      <c r="H1775" s="1" t="str">
        <f>CONCATENATE("1. Zajednica ponuditelja: ",CHAR(10),"    D&amp;Z D.O.O., ZADAR",CHAR(10),"    BESTPROJEKT D.O.O., ZAGREB",CHAR(10),"    PRIMA PARS D.O.O., ZAGREB")</f>
        <v>1. Zajednica ponuditelja: 
    D&amp;Z D.O.O., ZADAR
    BESTPROJEKT D.O.O., ZAGREB
    PRIMA PARS D.O.O., ZAGREB</v>
      </c>
      <c r="I1775" s="2"/>
      <c r="J1775" s="1"/>
      <c r="K1775" s="2"/>
    </row>
    <row r="1776" spans="1:11" ht="63" x14ac:dyDescent="0.25">
      <c r="A1776" s="1" t="str">
        <f>"A-87/2014"</f>
        <v>A-87/2014</v>
      </c>
      <c r="B1776" s="1" t="s">
        <v>11</v>
      </c>
      <c r="C1776" s="1" t="s">
        <v>719</v>
      </c>
      <c r="D1776" s="1" t="str">
        <f>"1641-2013-EMV"</f>
        <v>1641-2013-EMV</v>
      </c>
      <c r="E1776" s="2"/>
      <c r="F1776" s="1" t="str">
        <f>"0,00"</f>
        <v>0,00</v>
      </c>
      <c r="G1776" s="1" t="str">
        <f>CONCATENATE("23.07.2014.",CHAR(10),"20.8.2014")</f>
        <v>23.07.2014.
20.8.2014</v>
      </c>
      <c r="H1776" s="1" t="str">
        <f>CONCATENATE("1. Zajednica ponuditelja: ",CHAR(10),"    D&amp;Z D.O.O., ZADAR",CHAR(10),"    BESTPROJEKT D.O.O., ZAGREB",CHAR(10),"    PRIMA PARS D.O.O., ZAGREB")</f>
        <v>1. Zajednica ponuditelja: 
    D&amp;Z D.O.O., ZADAR
    BESTPROJEKT D.O.O., ZAGREB
    PRIMA PARS D.O.O., ZAGREB</v>
      </c>
      <c r="I1776" s="2"/>
      <c r="J1776" s="1"/>
      <c r="K1776" s="2"/>
    </row>
    <row r="1777" spans="1:11" ht="63" x14ac:dyDescent="0.25">
      <c r="A1777" s="1" t="str">
        <f>"351/2014"</f>
        <v>351/2014</v>
      </c>
      <c r="B1777" s="1" t="s">
        <v>136</v>
      </c>
      <c r="C1777" s="1" t="s">
        <v>2797</v>
      </c>
      <c r="D1777" s="1" t="str">
        <f>CONCATENATE("2014-2203",CHAR(10),"2014/S 002-0025133 od 20.05.2014.")</f>
        <v>2014-2203
2014/S 002-0025133 od 20.05.2014.</v>
      </c>
      <c r="E1777" s="1" t="s">
        <v>366</v>
      </c>
      <c r="F1777" s="1" t="str">
        <f>"76.194,02"</f>
        <v>76.194,02</v>
      </c>
      <c r="G1777" s="1" t="str">
        <f>CONCATENATE("18.07.2014.",CHAR(10),"2 godine")</f>
        <v>18.07.2014.
2 godine</v>
      </c>
      <c r="H1777" s="1" t="str">
        <f>CONCATENATE("ELEKTROKEM D.O.O., SESVETE")</f>
        <v>ELEKTROKEM D.O.O., SESVETE</v>
      </c>
      <c r="I1777" s="2"/>
      <c r="J1777" s="1"/>
      <c r="K1777" s="1" t="s">
        <v>607</v>
      </c>
    </row>
    <row r="1778" spans="1:11" ht="126" x14ac:dyDescent="0.25">
      <c r="A1778" s="1" t="str">
        <f>"A-88/2014"</f>
        <v>A-88/2014</v>
      </c>
      <c r="B1778" s="1" t="s">
        <v>11</v>
      </c>
      <c r="C1778" s="1" t="s">
        <v>720</v>
      </c>
      <c r="D1778" s="1" t="str">
        <f>"1968-2012-EMV"</f>
        <v>1968-2012-EMV</v>
      </c>
      <c r="E1778" s="2"/>
      <c r="F1778" s="1" t="str">
        <f>"0,00"</f>
        <v>0,00</v>
      </c>
      <c r="G1778" s="1" t="str">
        <f>CONCATENATE("23.07.2014.",CHAR(10),"31.12.2014")</f>
        <v>23.07.2014.
31.12.2014</v>
      </c>
      <c r="H1778" s="1" t="str">
        <f>CONCATENATE("1. Zajednica ponuditelja: ",CHAR(10),"    INŽENJERSKI PROJEKTNI ZAVOD D.D., ZAGREB",CHAR(10),"    GEO-BIM D.O.O., SAMOBOR")</f>
        <v>1. Zajednica ponuditelja: 
    INŽENJERSKI PROJEKTNI ZAVOD D.D., ZAGREB
    GEO-BIM D.O.O., SAMOBOR</v>
      </c>
      <c r="I1778" s="2"/>
      <c r="J1778" s="1"/>
      <c r="K1778" s="2"/>
    </row>
    <row r="1779" spans="1:11" ht="47.25" x14ac:dyDescent="0.25">
      <c r="A1779" s="1" t="str">
        <f>"352/2014"</f>
        <v>352/2014</v>
      </c>
      <c r="B1779" s="1" t="s">
        <v>136</v>
      </c>
      <c r="C1779" s="1" t="s">
        <v>721</v>
      </c>
      <c r="D1779" s="1" t="str">
        <f>CONCATENATE("2014-1799",CHAR(10),"2014/S 002-0024536 od 16.06.2014.")</f>
        <v>2014-1799
2014/S 002-0024536 od 16.06.2014.</v>
      </c>
      <c r="E1779" s="1" t="s">
        <v>366</v>
      </c>
      <c r="F1779" s="1" t="str">
        <f>"271.580,00"</f>
        <v>271.580,00</v>
      </c>
      <c r="G1779" s="1" t="str">
        <f>CONCATENATE("23.07.2014.",CHAR(10),"2 godine")</f>
        <v>23.07.2014.
2 godine</v>
      </c>
      <c r="H1779" s="1" t="str">
        <f>CONCATENATE("ELEKTROKEM D.O.O., SESVETE")</f>
        <v>ELEKTROKEM D.O.O., SESVETE</v>
      </c>
      <c r="I1779" s="2"/>
      <c r="J1779" s="1"/>
      <c r="K1779" s="1" t="s">
        <v>607</v>
      </c>
    </row>
    <row r="1780" spans="1:11" ht="94.5" x14ac:dyDescent="0.25">
      <c r="A1780" s="1" t="str">
        <f>"A-89/2014"</f>
        <v>A-89/2014</v>
      </c>
      <c r="B1780" s="1" t="s">
        <v>11</v>
      </c>
      <c r="C1780" s="1" t="s">
        <v>722</v>
      </c>
      <c r="D1780" s="1" t="str">
        <f>"1886-2012-EMV"</f>
        <v>1886-2012-EMV</v>
      </c>
      <c r="E1780" s="2"/>
      <c r="F1780" s="1" t="str">
        <f>"0,00"</f>
        <v>0,00</v>
      </c>
      <c r="G1780" s="1" t="str">
        <f>CONCATENATE("23.07.2014.",CHAR(10),"31.12.2014")</f>
        <v>23.07.2014.
31.12.2014</v>
      </c>
      <c r="H1780" s="1" t="str">
        <f>CONCATENATE("1. Zajednica ponuditelja: ",CHAR(10),"    INŽENJERSKI PROJEKTNI ZAVOD D.D., ZAGREB",CHAR(10),"    GEO-BIM D.O.O., SAMOBOR")</f>
        <v>1. Zajednica ponuditelja: 
    INŽENJERSKI PROJEKTNI ZAVOD D.D., ZAGREB
    GEO-BIM D.O.O., SAMOBOR</v>
      </c>
      <c r="I1780" s="2"/>
      <c r="J1780" s="1"/>
      <c r="K1780" s="2"/>
    </row>
    <row r="1781" spans="1:11" ht="78.75" x14ac:dyDescent="0.25">
      <c r="A1781" s="1" t="str">
        <f>"353/2014"</f>
        <v>353/2014</v>
      </c>
      <c r="B1781" s="1" t="s">
        <v>14</v>
      </c>
      <c r="C1781" s="1" t="s">
        <v>723</v>
      </c>
      <c r="D1781" s="1" t="str">
        <f>CONCATENATE("2014-2184",CHAR(10),"2014/S 002-0017861 od 04.04.2014.")</f>
        <v>2014-2184
2014/S 002-0017861 od 04.04.2014.</v>
      </c>
      <c r="E1781" s="1" t="s">
        <v>15</v>
      </c>
      <c r="F1781" s="1" t="s">
        <v>724</v>
      </c>
      <c r="G1781" s="1" t="str">
        <f>CONCATENATE("21.07.2014.",CHAR(10),"60 mjeseci od nastanka ugovornog odnosa")</f>
        <v>21.07.2014.
60 mjeseci od nastanka ugovornog odnosa</v>
      </c>
      <c r="H1781" s="1" t="str">
        <f>CONCATENATE("ERSTE &amp; STEIERMÄRKISCHE S-LEASING D.O.O., ZAGREB")</f>
        <v>ERSTE &amp; STEIERMÄRKISCHE S-LEASING D.O.O., ZAGREB</v>
      </c>
      <c r="I1781" s="2"/>
      <c r="J1781" s="1"/>
      <c r="K1781" s="1" t="s">
        <v>607</v>
      </c>
    </row>
    <row r="1782" spans="1:11" ht="47.25" x14ac:dyDescent="0.25">
      <c r="A1782" s="1" t="str">
        <f>"A-90/2014"</f>
        <v>A-90/2014</v>
      </c>
      <c r="B1782" s="1" t="s">
        <v>11</v>
      </c>
      <c r="C1782" s="1" t="s">
        <v>725</v>
      </c>
      <c r="D1782" s="1" t="str">
        <f>"1469-2013-EMV"</f>
        <v>1469-2013-EMV</v>
      </c>
      <c r="E1782" s="2"/>
      <c r="F1782" s="1" t="str">
        <f>"661.324,00"</f>
        <v>661.324,00</v>
      </c>
      <c r="G1782" s="1" t="str">
        <f>"24.07.2014."</f>
        <v>24.07.2014.</v>
      </c>
      <c r="H1782" s="1" t="str">
        <f>CONCATENATE("BILIĆ-ERIĆ D.O.O., SESVETE")</f>
        <v>BILIĆ-ERIĆ D.O.O., SESVETE</v>
      </c>
      <c r="I1782" s="1" t="s">
        <v>288</v>
      </c>
      <c r="J1782" s="1" t="str">
        <f>SUBSTITUTE(SUBSTITUTE(SUBSTITUTE("826,654.44",".","-"),",","."),"-",",")</f>
        <v>826.654,44</v>
      </c>
      <c r="K1782" s="2"/>
    </row>
    <row r="1783" spans="1:11" ht="78.75" x14ac:dyDescent="0.25">
      <c r="A1783" s="1" t="str">
        <f>"354/2014"</f>
        <v>354/2014</v>
      </c>
      <c r="B1783" s="1" t="s">
        <v>14</v>
      </c>
      <c r="C1783" s="1" t="s">
        <v>726</v>
      </c>
      <c r="D1783" s="1" t="str">
        <f>CONCATENATE("2014-2165",CHAR(10),"2014/S 002-0021450 od 28.04.2014.")</f>
        <v>2014-2165
2014/S 002-0021450 od 28.04.2014.</v>
      </c>
      <c r="E1783" s="1" t="s">
        <v>15</v>
      </c>
      <c r="F1783" s="1" t="s">
        <v>727</v>
      </c>
      <c r="G1783" s="1" t="str">
        <f>CONCATENATE("21.07.2014.",CHAR(10),"60 mjeseci od nastanka ugovornog odnosa")</f>
        <v>21.07.2014.
60 mjeseci od nastanka ugovornog odnosa</v>
      </c>
      <c r="H1783" s="1" t="str">
        <f>CONCATENATE("ERSTE &amp; STEIERMÄRKISCHE S-LEASING D.O.O., ZAGREB")</f>
        <v>ERSTE &amp; STEIERMÄRKISCHE S-LEASING D.O.O., ZAGREB</v>
      </c>
      <c r="I1783" s="2"/>
      <c r="J1783" s="1"/>
      <c r="K1783" s="1" t="s">
        <v>607</v>
      </c>
    </row>
    <row r="1784" spans="1:11" ht="126" x14ac:dyDescent="0.25">
      <c r="A1784" s="1" t="str">
        <f>"A-91/2014"</f>
        <v>A-91/2014</v>
      </c>
      <c r="B1784" s="1" t="s">
        <v>11</v>
      </c>
      <c r="C1784" s="1" t="s">
        <v>728</v>
      </c>
      <c r="D1784" s="1" t="str">
        <f>"1175-2013-EVV"</f>
        <v>1175-2013-EVV</v>
      </c>
      <c r="E1784" s="2"/>
      <c r="F1784" s="1" t="str">
        <f>"0,00"</f>
        <v>0,00</v>
      </c>
      <c r="G1784" s="1" t="str">
        <f>CONCATENATE("22.07.2014.",CHAR(10),"19.7.2015.")</f>
        <v>22.07.2014.
19.7.2015.</v>
      </c>
      <c r="H1784" s="1" t="str">
        <f>CONCATENATE("1. Zajednica ponuditelja: ",CHAR(10),"    GEOKON - ZAGREB D.D., ZAGREB",CHAR(10),"    OIKON D.O.O., ZAGREB",CHAR(10),"    PROJEKTNI BIRO NAGLIĆ D.O.O., ZAGREB",CHAR(10),"    REPER PLUS D.O.O., ZAGREB",CHAR(10),"    KONSTRUKCIJE KOSTELAC D.O.O., RAKOV POTOK")</f>
        <v>1. Zajednica ponuditelja: 
    GEOKON - ZAGREB D.D., ZAGREB
    OIKON D.O.O., ZAGREB
    PROJEKTNI BIRO NAGLIĆ D.O.O., ZAGREB
    REPER PLUS D.O.O., ZAGREB
    KONSTRUKCIJE KOSTELAC D.O.O., RAKOV POTOK</v>
      </c>
      <c r="I1784" s="2"/>
      <c r="J1784" s="1"/>
      <c r="K1784" s="2"/>
    </row>
    <row r="1785" spans="1:11" ht="47.25" x14ac:dyDescent="0.25">
      <c r="A1785" s="1" t="str">
        <f>"355/2014"</f>
        <v>355/2014</v>
      </c>
      <c r="B1785" s="1" t="s">
        <v>136</v>
      </c>
      <c r="C1785" s="1" t="s">
        <v>729</v>
      </c>
      <c r="D1785" s="1" t="str">
        <f>CONCATENATE("2014-107",CHAR(10),"2014/S 002-0014753 od 24.03.2014.")</f>
        <v>2014-107
2014/S 002-0014753 od 24.03.2014.</v>
      </c>
      <c r="E1785" s="1" t="s">
        <v>366</v>
      </c>
      <c r="F1785" s="1" t="str">
        <f>"638.370,00"</f>
        <v>638.370,00</v>
      </c>
      <c r="G1785" s="1" t="str">
        <f>CONCATENATE("21.07.2014.",CHAR(10),"2 godine")</f>
        <v>21.07.2014.
2 godine</v>
      </c>
      <c r="H1785" s="1" t="str">
        <f>CONCATENATE("PIK VRBOVEC-MESNA INDUSTRIJA D.D., VRBOVEC")</f>
        <v>PIK VRBOVEC-MESNA INDUSTRIJA D.D., VRBOVEC</v>
      </c>
      <c r="I1785" s="2"/>
      <c r="J1785" s="1"/>
      <c r="K1785" s="1" t="s">
        <v>607</v>
      </c>
    </row>
    <row r="1786" spans="1:11" ht="47.25" x14ac:dyDescent="0.25">
      <c r="A1786" s="1" t="str">
        <f>"356/2014"</f>
        <v>356/2014</v>
      </c>
      <c r="B1786" s="1" t="s">
        <v>14</v>
      </c>
      <c r="C1786" s="1" t="s">
        <v>730</v>
      </c>
      <c r="D1786" s="1" t="str">
        <f>CONCATENATE("1439-2014-EMV",CHAR(10),"2014/S 002-0014768 od 24.03.2014.")</f>
        <v>1439-2014-EMV
2014/S 002-0014768 od 24.03.2014.</v>
      </c>
      <c r="E1786" s="1" t="s">
        <v>15</v>
      </c>
      <c r="F1786" s="1" t="str">
        <f>"1.425.000,00"</f>
        <v>1.425.000,00</v>
      </c>
      <c r="G1786" s="1" t="str">
        <f>CONCATENATE("21.07.2014.",CHAR(10),"12 mjeseci od dana uvođenja u posao")</f>
        <v>21.07.2014.
12 mjeseci od dana uvođenja u posao</v>
      </c>
      <c r="H1786" s="1" t="str">
        <f>CONCATENATE("PISMORAD D.D., ZAGREB")</f>
        <v>PISMORAD D.D., ZAGREB</v>
      </c>
      <c r="I1786" s="2"/>
      <c r="J1786" s="1"/>
      <c r="K1786" s="2"/>
    </row>
    <row r="1787" spans="1:11" ht="110.25" x14ac:dyDescent="0.25">
      <c r="A1787" s="1" t="str">
        <f>"357/2014"</f>
        <v>357/2014</v>
      </c>
      <c r="B1787" s="1" t="s">
        <v>136</v>
      </c>
      <c r="C1787" s="1" t="s">
        <v>731</v>
      </c>
      <c r="D1787" s="1" t="str">
        <f>CONCATENATE("2014-55",CHAR(10),"2014/S 002-0023321 od 09.05.2014 i ispr. broj 2014/S 014-0023877 od 13.07.2014 i ispravak br. 2014/S 014-0024179 od 15.05.2014.")</f>
        <v>2014-55
2014/S 002-0023321 od 09.05.2014 i ispr. broj 2014/S 014-0023877 od 13.07.2014 i ispravak br. 2014/S 014-0024179 od 15.05.2014.</v>
      </c>
      <c r="E1787" s="1" t="s">
        <v>366</v>
      </c>
      <c r="F1787" s="1" t="str">
        <f>"1.559.615,01"</f>
        <v>1.559.615,01</v>
      </c>
      <c r="G1787" s="1" t="str">
        <f>CONCATENATE("23.07.2014.",CHAR(10),"2 godine")</f>
        <v>23.07.2014.
2 godine</v>
      </c>
      <c r="H1787" s="1" t="str">
        <f>CONCATENATE("MESSER CROATIA PLIN D.O.O., ZAPREŠIĆ")</f>
        <v>MESSER CROATIA PLIN D.O.O., ZAPREŠIĆ</v>
      </c>
      <c r="I1787" s="2"/>
      <c r="J1787" s="1"/>
      <c r="K1787" s="1" t="s">
        <v>607</v>
      </c>
    </row>
    <row r="1788" spans="1:11" ht="31.5" x14ac:dyDescent="0.25">
      <c r="A1788" s="1" t="str">
        <f>"358/2014"</f>
        <v>358/2014</v>
      </c>
      <c r="B1788" s="1" t="s">
        <v>26</v>
      </c>
      <c r="C1788" s="1" t="s">
        <v>2798</v>
      </c>
      <c r="D1788" s="1" t="str">
        <f>"390-2012-EVV"</f>
        <v>390-2012-EVV</v>
      </c>
      <c r="E1788" s="2"/>
      <c r="F1788" s="1" t="str">
        <f>"833.177,91"</f>
        <v>833.177,91</v>
      </c>
      <c r="G1788" s="1" t="str">
        <f>CONCATENATE("01.08.2014.",CHAR(10),"1 godina (od 1.8.2014)")</f>
        <v>01.08.2014.
1 godina (od 1.8.2014)</v>
      </c>
      <c r="H1788" s="1" t="str">
        <f>CONCATENATE("CROATIA OSIGURANJE D.D., ZAGREB")</f>
        <v>CROATIA OSIGURANJE D.D., ZAGREB</v>
      </c>
      <c r="I1788" s="2"/>
      <c r="J1788" s="1"/>
      <c r="K1788" s="2"/>
    </row>
    <row r="1789" spans="1:11" ht="31.5" x14ac:dyDescent="0.25">
      <c r="A1789" s="1" t="str">
        <f>"359/2014"</f>
        <v>359/2014</v>
      </c>
      <c r="B1789" s="1" t="s">
        <v>26</v>
      </c>
      <c r="C1789" s="1" t="s">
        <v>2799</v>
      </c>
      <c r="D1789" s="1" t="str">
        <f>"390-2012-EVV"</f>
        <v>390-2012-EVV</v>
      </c>
      <c r="E1789" s="2"/>
      <c r="F1789" s="1" t="str">
        <f>"758.906,45"</f>
        <v>758.906,45</v>
      </c>
      <c r="G1789" s="1" t="str">
        <f>CONCATENATE("01.08.2014.",CHAR(10),"1 godina (od 1.8.2014)")</f>
        <v>01.08.2014.
1 godina (od 1.8.2014)</v>
      </c>
      <c r="H1789" s="1" t="str">
        <f>CONCATENATE("CROATIA OSIGURANJE D.D., ZAGREB")</f>
        <v>CROATIA OSIGURANJE D.D., ZAGREB</v>
      </c>
      <c r="I1789" s="2"/>
      <c r="J1789" s="1"/>
      <c r="K1789" s="2"/>
    </row>
    <row r="1790" spans="1:11" ht="31.5" x14ac:dyDescent="0.25">
      <c r="A1790" s="1" t="str">
        <f>"360/2014"</f>
        <v>360/2014</v>
      </c>
      <c r="B1790" s="1" t="s">
        <v>26</v>
      </c>
      <c r="C1790" s="1" t="s">
        <v>2800</v>
      </c>
      <c r="D1790" s="1" t="str">
        <f>"390-2012-EVV"</f>
        <v>390-2012-EVV</v>
      </c>
      <c r="E1790" s="2"/>
      <c r="F1790" s="1" t="str">
        <f>"290.858,50"</f>
        <v>290.858,50</v>
      </c>
      <c r="G1790" s="1" t="str">
        <f>CONCATENATE("01.08.2014.",CHAR(10),"1 godina (od 1.8.2014)")</f>
        <v>01.08.2014.
1 godina (od 1.8.2014)</v>
      </c>
      <c r="H1790" s="1" t="str">
        <f>CONCATENATE("CROATIA OSIGURANJE D.D., ZAGREB")</f>
        <v>CROATIA OSIGURANJE D.D., ZAGREB</v>
      </c>
      <c r="I1790" s="2"/>
      <c r="J1790" s="1"/>
      <c r="K1790" s="2"/>
    </row>
    <row r="1791" spans="1:11" ht="47.25" x14ac:dyDescent="0.25">
      <c r="A1791" s="1" t="str">
        <f>"361/2014"</f>
        <v>361/2014</v>
      </c>
      <c r="B1791" s="1" t="s">
        <v>14</v>
      </c>
      <c r="C1791" s="1" t="s">
        <v>732</v>
      </c>
      <c r="D1791" s="1" t="str">
        <f>CONCATENATE("2014-2237",CHAR(10),"2014/S 002-0024220 od 15.05.2014.")</f>
        <v>2014-2237
2014/S 002-0024220 od 15.05.2014.</v>
      </c>
      <c r="E1791" s="1" t="s">
        <v>15</v>
      </c>
      <c r="F1791" s="1" t="str">
        <f>"163.700,00"</f>
        <v>163.700,00</v>
      </c>
      <c r="G1791" s="1" t="str">
        <f>CONCATENATE("24.07.2014.",CHAR(10),"1 godina od obostranog potpisa Ugovora")</f>
        <v>24.07.2014.
1 godina od obostranog potpisa Ugovora</v>
      </c>
      <c r="H1791" s="1" t="str">
        <f>CONCATENATE("INOCON D.O.O., ZAGREB")</f>
        <v>INOCON D.O.O., ZAGREB</v>
      </c>
      <c r="I1791" s="2"/>
      <c r="J1791" s="1"/>
      <c r="K1791" s="1" t="s">
        <v>607</v>
      </c>
    </row>
    <row r="1792" spans="1:11" ht="63" x14ac:dyDescent="0.25">
      <c r="A1792" s="1" t="str">
        <f>"362/2014"</f>
        <v>362/2014</v>
      </c>
      <c r="B1792" s="1" t="s">
        <v>14</v>
      </c>
      <c r="C1792" s="1" t="s">
        <v>2801</v>
      </c>
      <c r="D1792" s="1" t="str">
        <f>CONCATENATE("1240-2013-EMV",CHAR(10),"2013/S 002-0098151 od 29.11.2013.")</f>
        <v>1240-2013-EMV
2013/S 002-0098151 od 29.11.2013.</v>
      </c>
      <c r="E1792" s="1" t="s">
        <v>15</v>
      </c>
      <c r="F1792" s="1" t="str">
        <f>"141.256,00"</f>
        <v>141.256,00</v>
      </c>
      <c r="G1792" s="1" t="str">
        <f>CONCATENATE("24.07.2014.",CHAR(10),"30 dana od dana uvođenja u posao")</f>
        <v>24.07.2014.
30 dana od dana uvođenja u posao</v>
      </c>
      <c r="H1792" s="1" t="str">
        <f>CONCATENATE("1. Zajednica ponuditelja: ",CHAR(10),"    ELEKTROKEM D.O.O., SESVETE",CHAR(10),"    GEO-INFORMATIČKI STUDIO D.O.O., ZAGREB")</f>
        <v>1. Zajednica ponuditelja: 
    ELEKTROKEM D.O.O., SESVETE
    GEO-INFORMATIČKI STUDIO D.O.O., ZAGREB</v>
      </c>
      <c r="I1792" s="2"/>
      <c r="J1792" s="1"/>
      <c r="K1792" s="2"/>
    </row>
    <row r="1793" spans="1:11" ht="78.75" x14ac:dyDescent="0.25">
      <c r="A1793" s="1" t="str">
        <f>"363/2014"</f>
        <v>363/2014</v>
      </c>
      <c r="B1793" s="1" t="s">
        <v>136</v>
      </c>
      <c r="C1793" s="1" t="s">
        <v>733</v>
      </c>
      <c r="D1793" s="1" t="str">
        <f>CONCATENATE("2014-882",CHAR(10),"2014/S 002-0022621 od 06.05.2014. i ispravak br. 2014/S 014-0023851 od 13.05.2014.")</f>
        <v>2014-882
2014/S 002-0022621 od 06.05.2014. i ispravak br. 2014/S 014-0023851 od 13.05.2014.</v>
      </c>
      <c r="E1793" s="1" t="s">
        <v>366</v>
      </c>
      <c r="F1793" s="1" t="str">
        <f>"173.258,00"</f>
        <v>173.258,00</v>
      </c>
      <c r="G1793" s="1" t="str">
        <f>CONCATENATE("24.07.2014.",CHAR(10),"2 godine")</f>
        <v>24.07.2014.
2 godine</v>
      </c>
      <c r="H1793" s="1" t="str">
        <f>CONCATENATE("ELEKTROKEM D.O.O., SESVETE")</f>
        <v>ELEKTROKEM D.O.O., SESVETE</v>
      </c>
      <c r="I1793" s="2"/>
      <c r="J1793" s="1"/>
      <c r="K1793" s="1" t="s">
        <v>607</v>
      </c>
    </row>
    <row r="1794" spans="1:11" ht="63" x14ac:dyDescent="0.25">
      <c r="A1794" s="1" t="str">
        <f>"364/2014"</f>
        <v>364/2014</v>
      </c>
      <c r="B1794" s="1" t="s">
        <v>26</v>
      </c>
      <c r="C1794" s="1" t="s">
        <v>734</v>
      </c>
      <c r="D1794" s="1" t="str">
        <f>"249-2014-EVV"</f>
        <v>249-2014-EVV</v>
      </c>
      <c r="E1794" s="2"/>
      <c r="F1794" s="1" t="str">
        <f>"6.633.151,00"</f>
        <v>6.633.151,00</v>
      </c>
      <c r="G1794" s="1" t="str">
        <f>CONCATENATE("25.07.2014.",CHAR(10),"12 mjeseci")</f>
        <v>25.07.2014.
12 mjeseci</v>
      </c>
      <c r="H1794" s="1" t="str">
        <f>CONCATENATE("1. Zajednica ponuditelja: ",CHAR(10),"    EBC SISTEMI D.O.O., ZAGREB",CHAR(10),"    STORM COMPUTERS D.O.O., ZAGREB")</f>
        <v>1. Zajednica ponuditelja: 
    EBC SISTEMI D.O.O., ZAGREB
    STORM COMPUTERS D.O.O., ZAGREB</v>
      </c>
      <c r="I1794" s="2"/>
      <c r="J1794" s="1"/>
      <c r="K1794" s="2"/>
    </row>
    <row r="1795" spans="1:11" ht="126" x14ac:dyDescent="0.25">
      <c r="A1795" s="1" t="str">
        <f>"365/2014"</f>
        <v>365/2014</v>
      </c>
      <c r="B1795" s="1" t="s">
        <v>26</v>
      </c>
      <c r="C1795" s="1" t="s">
        <v>2802</v>
      </c>
      <c r="D1795" s="1" t="str">
        <f>"210-2013-EMV"</f>
        <v>210-2013-EMV</v>
      </c>
      <c r="E1795" s="2"/>
      <c r="F1795" s="1" t="str">
        <f>"45.355,00"</f>
        <v>45.355,00</v>
      </c>
      <c r="G1795" s="1" t="str">
        <f>CONCATENATE("03.08.2014.",CHAR(10),"12 mjeseci")</f>
        <v>03.08.2014.
12 mjeseci</v>
      </c>
      <c r="H1795" s="1" t="str">
        <f>CONCATENATE("INSPEKT D.O.O., ZAGREB")</f>
        <v>INSPEKT D.O.O., ZAGREB</v>
      </c>
      <c r="I1795" s="2"/>
      <c r="J1795" s="1"/>
      <c r="K1795" s="2"/>
    </row>
    <row r="1796" spans="1:11" ht="63" x14ac:dyDescent="0.25">
      <c r="A1796" s="1" t="str">
        <f>"366/2014"</f>
        <v>366/2014</v>
      </c>
      <c r="B1796" s="1" t="s">
        <v>136</v>
      </c>
      <c r="C1796" s="1" t="s">
        <v>2803</v>
      </c>
      <c r="D1796" s="1" t="str">
        <f>CONCATENATE("2014-2203",CHAR(10),"2014/S 002-0025133 od 20.05.2014.")</f>
        <v>2014-2203
2014/S 002-0025133 od 20.05.2014.</v>
      </c>
      <c r="E1796" s="1" t="s">
        <v>366</v>
      </c>
      <c r="F1796" s="1" t="str">
        <f>"124.800,00"</f>
        <v>124.800,00</v>
      </c>
      <c r="G1796" s="1" t="str">
        <f>CONCATENATE("28.07.2014.",CHAR(10),"2 godine")</f>
        <v>28.07.2014.
2 godine</v>
      </c>
      <c r="H1796" s="1" t="str">
        <f>CONCATENATE("SEMAFOR D.O.O., ZAGREB")</f>
        <v>SEMAFOR D.O.O., ZAGREB</v>
      </c>
      <c r="I1796" s="2"/>
      <c r="J1796" s="1"/>
      <c r="K1796" s="1" t="s">
        <v>607</v>
      </c>
    </row>
    <row r="1797" spans="1:11" ht="47.25" x14ac:dyDescent="0.25">
      <c r="A1797" s="1" t="str">
        <f>"367/2014"</f>
        <v>367/2014</v>
      </c>
      <c r="B1797" s="1" t="s">
        <v>14</v>
      </c>
      <c r="C1797" s="1" t="s">
        <v>735</v>
      </c>
      <c r="D1797" s="1" t="str">
        <f>CONCATENATE("1216-2014-EVV",CHAR(10),"2014/S 002-0019145 od 11.04.2014.")</f>
        <v>1216-2014-EVV
2014/S 002-0019145 od 11.04.2014.</v>
      </c>
      <c r="E1797" s="1" t="s">
        <v>15</v>
      </c>
      <c r="F1797" s="1" t="str">
        <f>"5.556.285,10"</f>
        <v>5.556.285,10</v>
      </c>
      <c r="G1797" s="1" t="str">
        <f>CONCATENATE("24.07.2014.",CHAR(10),"30 dana od dana obostranog potpisa Ugovora")</f>
        <v>24.07.2014.
30 dana od dana obostranog potpisa Ugovora</v>
      </c>
      <c r="H1797" s="1" t="str">
        <f>CONCATENATE("ŠKOLSKI SERVIS D.O.O., ZAGREB")</f>
        <v>ŠKOLSKI SERVIS D.O.O., ZAGREB</v>
      </c>
      <c r="I1797" s="2"/>
      <c r="J1797" s="1"/>
      <c r="K1797" s="2"/>
    </row>
    <row r="1798" spans="1:11" ht="47.25" x14ac:dyDescent="0.25">
      <c r="A1798" s="1" t="str">
        <f>"368/2014"</f>
        <v>368/2014</v>
      </c>
      <c r="B1798" s="1" t="s">
        <v>14</v>
      </c>
      <c r="C1798" s="1" t="s">
        <v>736</v>
      </c>
      <c r="D1798" s="1" t="str">
        <f>CONCATENATE("1218-2014-EVV",CHAR(10),"2014/S 002-0019427 od 14.04.2014.")</f>
        <v>1218-2014-EVV
2014/S 002-0019427 od 14.04.2014.</v>
      </c>
      <c r="E1798" s="1" t="s">
        <v>15</v>
      </c>
      <c r="F1798" s="1" t="str">
        <f>"7.988.363,50"</f>
        <v>7.988.363,50</v>
      </c>
      <c r="G1798" s="1" t="str">
        <f>CONCATENATE("24.07.2014.",CHAR(10),"30 dana od dana obostranog potpisa Ugovora")</f>
        <v>24.07.2014.
30 dana od dana obostranog potpisa Ugovora</v>
      </c>
      <c r="H1798" s="1" t="str">
        <f>CONCATENATE("ŠKOLSKI SERVIS D.O.O., ZAGREB")</f>
        <v>ŠKOLSKI SERVIS D.O.O., ZAGREB</v>
      </c>
      <c r="I1798" s="1" t="s">
        <v>737</v>
      </c>
      <c r="J1798" s="1" t="str">
        <f>SUBSTITUTE(SUBSTITUTE(SUBSTITUTE("9,966,364.10",".","-"),",","."),"-",",")</f>
        <v>9.966.364,10</v>
      </c>
      <c r="K1798" s="2"/>
    </row>
    <row r="1799" spans="1:11" ht="63" x14ac:dyDescent="0.25">
      <c r="A1799" s="1" t="str">
        <f>"369/2014"</f>
        <v>369/2014</v>
      </c>
      <c r="B1799" s="1" t="s">
        <v>14</v>
      </c>
      <c r="C1799" s="1" t="s">
        <v>738</v>
      </c>
      <c r="D1799" s="1" t="str">
        <f>CONCATENATE("1685-2014-EVV",CHAR(10),"2014/S 015-0025159 od 20.05.2014.")</f>
        <v>1685-2014-EVV
2014/S 015-0025159 od 20.05.2014.</v>
      </c>
      <c r="E1799" s="1" t="s">
        <v>40</v>
      </c>
      <c r="F1799" s="1" t="str">
        <f>"323.400,00"</f>
        <v>323.400,00</v>
      </c>
      <c r="G1799" s="1" t="str">
        <f>CONCATENATE("28.07.2014.",CHAR(10),"6 mjeseci od dana obostranog potpisa Ugovora")</f>
        <v>28.07.2014.
6 mjeseci od dana obostranog potpisa Ugovora</v>
      </c>
      <c r="H1799" s="1" t="str">
        <f>CONCATENATE("SPECIJALNA BOLNICA ZA MEDICINSKU REHABILITACIJU NAFTALAN, IVANIĆ-GRAD")</f>
        <v>SPECIJALNA BOLNICA ZA MEDICINSKU REHABILITACIJU NAFTALAN, IVANIĆ-GRAD</v>
      </c>
      <c r="I1799" s="1" t="s">
        <v>739</v>
      </c>
      <c r="J1799" s="1" t="str">
        <f>SUBSTITUTE(SUBSTITUTE(SUBSTITUTE("249,480.00",".","-"),",","."),"-",",")</f>
        <v>249.480,00</v>
      </c>
      <c r="K1799" s="2"/>
    </row>
    <row r="1800" spans="1:11" ht="63" x14ac:dyDescent="0.25">
      <c r="A1800" s="1" t="str">
        <f>"370/2014"</f>
        <v>370/2014</v>
      </c>
      <c r="B1800" s="1" t="s">
        <v>14</v>
      </c>
      <c r="C1800" s="1" t="s">
        <v>740</v>
      </c>
      <c r="D1800" s="1" t="str">
        <f>CONCATENATE("1685-2014-EVV",CHAR(10),"2014/S 015-0025159 od 20.05.2014.")</f>
        <v>1685-2014-EVV
2014/S 015-0025159 od 20.05.2014.</v>
      </c>
      <c r="E1800" s="1" t="s">
        <v>40</v>
      </c>
      <c r="F1800" s="1" t="str">
        <f>"153.858,60"</f>
        <v>153.858,60</v>
      </c>
      <c r="G1800" s="1" t="str">
        <f>CONCATENATE("28.07.2014.",CHAR(10),"6 mjeseci od dana obostranog potpisa Ugovora")</f>
        <v>28.07.2014.
6 mjeseci od dana obostranog potpisa Ugovora</v>
      </c>
      <c r="H1800" s="1" t="str">
        <f>CONCATENATE("SPECIJALNA BOLNICA ZA MEDICINSKU REHABILITACIJU VARAŽDINSKE TOPLICE, VARAŽDINSKE TOPLICE")</f>
        <v>SPECIJALNA BOLNICA ZA MEDICINSKU REHABILITACIJU VARAŽDINSKE TOPLICE, VARAŽDINSKE TOPLICE</v>
      </c>
      <c r="I1800" s="1" t="s">
        <v>741</v>
      </c>
      <c r="J1800" s="1" t="str">
        <f>SUBSTITUTE(SUBSTITUTE(SUBSTITUTE("71,800.68",".","-"),",","."),"-",",")</f>
        <v>71.800,68</v>
      </c>
      <c r="K1800" s="2"/>
    </row>
    <row r="1801" spans="1:11" ht="47.25" x14ac:dyDescent="0.25">
      <c r="A1801" s="1" t="str">
        <f>"371/2014"</f>
        <v>371/2014</v>
      </c>
      <c r="B1801" s="1" t="s">
        <v>136</v>
      </c>
      <c r="C1801" s="1" t="s">
        <v>742</v>
      </c>
      <c r="D1801" s="1" t="str">
        <f>CONCATENATE("2336-2014-EMV",CHAR(10),"2014/S 002-0026212 od 27.05.2014.")</f>
        <v>2336-2014-EMV
2014/S 002-0026212 od 27.05.2014.</v>
      </c>
      <c r="E1801" s="1" t="s">
        <v>366</v>
      </c>
      <c r="F1801" s="1" t="str">
        <f>"949.000,00"</f>
        <v>949.000,00</v>
      </c>
      <c r="G1801" s="1" t="str">
        <f>CONCATENATE("28.07.2014.",CHAR(10),"2 godine")</f>
        <v>28.07.2014.
2 godine</v>
      </c>
      <c r="H1801" s="1" t="str">
        <f>CONCATENATE("KOM-EKO D.O.O., ZAGREB")</f>
        <v>KOM-EKO D.O.O., ZAGREB</v>
      </c>
      <c r="I1801" s="2"/>
      <c r="J1801" s="1"/>
      <c r="K1801" s="2"/>
    </row>
    <row r="1802" spans="1:11" ht="31.5" x14ac:dyDescent="0.25">
      <c r="A1802" s="1" t="str">
        <f>"R-4/2014"</f>
        <v>R-4/2014</v>
      </c>
      <c r="B1802" s="1" t="s">
        <v>56</v>
      </c>
      <c r="C1802" s="1" t="s">
        <v>2804</v>
      </c>
      <c r="D1802" s="1" t="str">
        <f>"2869-2013-EMV"</f>
        <v>2869-2013-EMV</v>
      </c>
      <c r="E1802" s="2"/>
      <c r="F1802" s="1" t="str">
        <f>"0,00"</f>
        <v>0,00</v>
      </c>
      <c r="G1802" s="1" t="str">
        <f>"28.07.2014."</f>
        <v>28.07.2014.</v>
      </c>
      <c r="H1802" s="1" t="str">
        <f>CONCATENATE("NERING D.O.O., SESVETE")</f>
        <v>NERING D.O.O., SESVETE</v>
      </c>
      <c r="I1802" s="2"/>
      <c r="J1802" s="1"/>
      <c r="K1802" s="2"/>
    </row>
    <row r="1803" spans="1:11" ht="47.25" x14ac:dyDescent="0.25">
      <c r="A1803" s="1" t="str">
        <f>"372/2014"</f>
        <v>372/2014</v>
      </c>
      <c r="B1803" s="1" t="s">
        <v>14</v>
      </c>
      <c r="C1803" s="1" t="s">
        <v>743</v>
      </c>
      <c r="D1803" s="1" t="str">
        <f>CONCATENATE("1260-2014-EMV",CHAR(10),"2014/S 002-0024187 od 15.05.2014.")</f>
        <v>1260-2014-EMV
2014/S 002-0024187 od 15.05.2014.</v>
      </c>
      <c r="E1803" s="1" t="s">
        <v>15</v>
      </c>
      <c r="F1803" s="1" t="str">
        <f>"872.067,00"</f>
        <v>872.067,00</v>
      </c>
      <c r="G1803" s="1" t="str">
        <f>CONCATENATE("28.07.2014.",CHAR(10),"300 dana od dana uvođenja u posao")</f>
        <v>28.07.2014.
300 dana od dana uvođenja u posao</v>
      </c>
      <c r="H1803" s="1" t="str">
        <f>CONCATENATE("HEDOM D.O.O., ZAGREB")</f>
        <v>HEDOM D.O.O., ZAGREB</v>
      </c>
      <c r="I1803" s="2"/>
      <c r="J1803" s="1"/>
      <c r="K1803" s="2"/>
    </row>
    <row r="1804" spans="1:11" ht="47.25" x14ac:dyDescent="0.25">
      <c r="A1804" s="1" t="str">
        <f>"373/2014"</f>
        <v>373/2014</v>
      </c>
      <c r="B1804" s="1" t="s">
        <v>136</v>
      </c>
      <c r="C1804" s="1" t="s">
        <v>744</v>
      </c>
      <c r="D1804" s="1" t="str">
        <f>CONCATENATE("2014-883",CHAR(10),"2014/S 002-0022304 od 02.05.2014.")</f>
        <v>2014-883
2014/S 002-0022304 od 02.05.2014.</v>
      </c>
      <c r="E1804" s="1" t="s">
        <v>366</v>
      </c>
      <c r="F1804" s="1" t="str">
        <f>"831.471,00"</f>
        <v>831.471,00</v>
      </c>
      <c r="G1804" s="1" t="str">
        <f>CONCATENATE("28.07.2014.",CHAR(10),"2 godine")</f>
        <v>28.07.2014.
2 godine</v>
      </c>
      <c r="H1804" s="1" t="str">
        <f>CONCATENATE("TERMOBIL THERMO KING D.O.O., JURDANI, PERMANI")</f>
        <v>TERMOBIL THERMO KING D.O.O., JURDANI, PERMANI</v>
      </c>
      <c r="I1804" s="2"/>
      <c r="J1804" s="1"/>
      <c r="K1804" s="1" t="s">
        <v>607</v>
      </c>
    </row>
    <row r="1805" spans="1:11" ht="47.25" x14ac:dyDescent="0.25">
      <c r="A1805" s="1" t="str">
        <f>"374/2014"</f>
        <v>374/2014</v>
      </c>
      <c r="B1805" s="1" t="s">
        <v>14</v>
      </c>
      <c r="C1805" s="1" t="s">
        <v>745</v>
      </c>
      <c r="D1805" s="1" t="str">
        <f>CONCATENATE("2014-459",CHAR(10),"2014/S 002-0020994 od 24.04.2014.")</f>
        <v>2014-459
2014/S 002-0020994 od 24.04.2014.</v>
      </c>
      <c r="E1805" s="1" t="s">
        <v>15</v>
      </c>
      <c r="F1805" s="1" t="str">
        <f>"275.196,00"</f>
        <v>275.196,00</v>
      </c>
      <c r="G1805" s="1" t="str">
        <f>CONCATENATE("28.07.2014.",CHAR(10),"90 dana od dana ispostavljanja pisane narudžbenice")</f>
        <v>28.07.2014.
90 dana od dana ispostavljanja pisane narudžbenice</v>
      </c>
      <c r="H1805" s="1" t="str">
        <f>CONCATENATE("VOELSTALPINE VAE GMBH, BEČ")</f>
        <v>VOELSTALPINE VAE GMBH, BEČ</v>
      </c>
      <c r="I1805" s="1" t="s">
        <v>746</v>
      </c>
      <c r="J1805" s="1" t="str">
        <f>SUBSTITUTE(SUBSTITUTE(SUBSTITUTE("275,196.00",".","-"),",","."),"-",",")</f>
        <v>275.196,00</v>
      </c>
      <c r="K1805" s="1" t="s">
        <v>607</v>
      </c>
    </row>
    <row r="1806" spans="1:11" ht="47.25" x14ac:dyDescent="0.25">
      <c r="A1806" s="1" t="str">
        <f>"375/2014"</f>
        <v>375/2014</v>
      </c>
      <c r="B1806" s="1" t="s">
        <v>14</v>
      </c>
      <c r="C1806" s="1" t="s">
        <v>747</v>
      </c>
      <c r="D1806" s="1" t="str">
        <f>CONCATENATE("198-2014-EMV",CHAR(10),"2014/S 002-0027215 od 02.06.2014.")</f>
        <v>198-2014-EMV
2014/S 002-0027215 od 02.06.2014.</v>
      </c>
      <c r="E1806" s="1" t="s">
        <v>15</v>
      </c>
      <c r="F1806" s="1" t="str">
        <f>"695.575,51"</f>
        <v>695.575,51</v>
      </c>
      <c r="G1806" s="1" t="str">
        <f>CONCATENATE("31.07.2014.",CHAR(10),"7 mjeseci od nastanka ugovornog odnosa")</f>
        <v>31.07.2014.
7 mjeseci od nastanka ugovornog odnosa</v>
      </c>
      <c r="H1806" s="1" t="str">
        <f>CONCATENATE("ORYX GRUPA D.O.O., SESVETE")</f>
        <v>ORYX GRUPA D.O.O., SESVETE</v>
      </c>
      <c r="I1806" s="1" t="s">
        <v>748</v>
      </c>
      <c r="J1806" s="1" t="str">
        <f>SUBSTITUTE(SUBSTITUTE(SUBSTITUTE("802,101.64",".","-"),",","."),"-",",")</f>
        <v>802.101,64</v>
      </c>
      <c r="K1806" s="2"/>
    </row>
    <row r="1807" spans="1:11" ht="78.75" x14ac:dyDescent="0.25">
      <c r="A1807" s="1" t="str">
        <f>"376/2014"</f>
        <v>376/2014</v>
      </c>
      <c r="B1807" s="1" t="s">
        <v>14</v>
      </c>
      <c r="C1807" s="1" t="s">
        <v>749</v>
      </c>
      <c r="D1807" s="1" t="str">
        <f>CONCATENATE("2014-2068",CHAR(10),"2014/S 014-0027710 od 04.06.2014.")</f>
        <v>2014-2068
2014/S 014-0027710 od 04.06.2014.</v>
      </c>
      <c r="E1807" s="1" t="s">
        <v>15</v>
      </c>
      <c r="F1807" s="1" t="str">
        <f>"774.201,50"</f>
        <v>774.201,50</v>
      </c>
      <c r="G1807" s="1" t="str">
        <f>CONCATENATE("29.07.2014.",CHAR(10),"150 dana od dana uvođenja u posao")</f>
        <v>29.07.2014.
150 dana od dana uvođenja u posao</v>
      </c>
      <c r="H1807" s="1" t="str">
        <f>CONCATENATE("1. Zajednica ponuditelja: ",CHAR(10),"    ''KINDER'' GRADNJA I USLUGE VL. I. KINDER, SESVETE",CHAR(10),"    PERVISUS D.O.O., ZAGREB",CHAR(10),"    KOLEKTOR ZAGREB, ZAGREB")</f>
        <v>1. Zajednica ponuditelja: 
    ''KINDER'' GRADNJA I USLUGE VL. I. KINDER, SESVETE
    PERVISUS D.O.O., ZAGREB
    KOLEKTOR ZAGREB, ZAGREB</v>
      </c>
      <c r="I1807" s="2"/>
      <c r="J1807" s="1"/>
      <c r="K1807" s="1" t="s">
        <v>607</v>
      </c>
    </row>
    <row r="1808" spans="1:11" ht="47.25" x14ac:dyDescent="0.25">
      <c r="A1808" s="1" t="str">
        <f>"378/2014"</f>
        <v>378/2014</v>
      </c>
      <c r="B1808" s="1" t="s">
        <v>14</v>
      </c>
      <c r="C1808" s="1" t="s">
        <v>750</v>
      </c>
      <c r="D1808" s="1" t="str">
        <f>CONCATENATE("2014-2230",CHAR(10),"2014/S 002-0024670 od 19.05.2014.")</f>
        <v>2014-2230
2014/S 002-0024670 od 19.05.2014.</v>
      </c>
      <c r="E1808" s="1" t="s">
        <v>15</v>
      </c>
      <c r="F1808" s="1" t="str">
        <f>"848.000,00"</f>
        <v>848.000,00</v>
      </c>
      <c r="G1808" s="1" t="str">
        <f>CONCATENATE("29.07.2014.",CHAR(10),"1 godina od nastanka ugovornog odnosa")</f>
        <v>29.07.2014.
1 godina od nastanka ugovornog odnosa</v>
      </c>
      <c r="H1808" s="1" t="str">
        <f>CONCATENATE("ANDEL D.O.O., ZAGREB")</f>
        <v>ANDEL D.O.O., ZAGREB</v>
      </c>
      <c r="I1808" s="1" t="s">
        <v>432</v>
      </c>
      <c r="J1808" s="1" t="str">
        <f>SUBSTITUTE(SUBSTITUTE(SUBSTITUTE("356,160.00",".","-"),",","."),"-",",")</f>
        <v>356.160,00</v>
      </c>
      <c r="K1808" s="1" t="s">
        <v>607</v>
      </c>
    </row>
    <row r="1809" spans="1:11" ht="47.25" x14ac:dyDescent="0.25">
      <c r="A1809" s="1" t="str">
        <f>"379/2014"</f>
        <v>379/2014</v>
      </c>
      <c r="B1809" s="1" t="s">
        <v>14</v>
      </c>
      <c r="C1809" s="1" t="s">
        <v>751</v>
      </c>
      <c r="D1809" s="1" t="str">
        <f>CONCATENATE("13-2014-EMV",CHAR(10),"2014/S 015-0035069 od 18.07.2014.")</f>
        <v>13-2014-EMV
2014/S 015-0035069 od 18.07.2014.</v>
      </c>
      <c r="E1809" s="1" t="s">
        <v>40</v>
      </c>
      <c r="F1809" s="1" t="str">
        <f>"744.774,00"</f>
        <v>744.774,00</v>
      </c>
      <c r="G1809" s="1" t="str">
        <f>CONCATENATE("29.07.2014.",CHAR(10),"12 mjeseci")</f>
        <v>29.07.2014.
12 mjeseci</v>
      </c>
      <c r="H1809" s="1" t="str">
        <f>CONCATENATE("POLIKLINIKA ZA REHABILITACIJU SLUŠANJA I GOVORA SUVAG, ZAGREB")</f>
        <v>POLIKLINIKA ZA REHABILITACIJU SLUŠANJA I GOVORA SUVAG, ZAGREB</v>
      </c>
      <c r="I1809" s="2"/>
      <c r="J1809" s="1"/>
      <c r="K1809" s="2"/>
    </row>
    <row r="1810" spans="1:11" ht="78.75" x14ac:dyDescent="0.25">
      <c r="A1810" s="1" t="str">
        <f>"380/2014"</f>
        <v>380/2014</v>
      </c>
      <c r="B1810" s="1" t="s">
        <v>14</v>
      </c>
      <c r="C1810" s="1" t="s">
        <v>752</v>
      </c>
      <c r="D1810" s="1" t="str">
        <f>CONCATENATE("1429-2014-EMV",CHAR(10),"2014/S 002-0019514 od 15.04.2014.")</f>
        <v>1429-2014-EMV
2014/S 002-0019514 od 15.04.2014.</v>
      </c>
      <c r="E1810" s="1" t="s">
        <v>15</v>
      </c>
      <c r="F1810" s="1" t="str">
        <f>"212.900,00"</f>
        <v>212.900,00</v>
      </c>
      <c r="G1810" s="1" t="str">
        <f>CONCATENATE("29.07.2014.",CHAR(10),"12 mjeseci")</f>
        <v>29.07.2014.
12 mjeseci</v>
      </c>
      <c r="H1810" s="1" t="str">
        <f>CONCATENATE("1. Zajednica ponuditelja: ",CHAR(10),"    IVNE GRAĐEVINA D.O.O., ZAGREB",CHAR(10),"    ELVEKO D.O.O., ZAGREB")</f>
        <v>1. Zajednica ponuditelja: 
    IVNE GRAĐEVINA D.O.O., ZAGREB
    ELVEKO D.O.O., ZAGREB</v>
      </c>
      <c r="I1810" s="2"/>
      <c r="J1810" s="1"/>
      <c r="K1810" s="2"/>
    </row>
    <row r="1811" spans="1:11" ht="63" x14ac:dyDescent="0.25">
      <c r="A1811" s="1" t="str">
        <f>"381/2014"</f>
        <v>381/2014</v>
      </c>
      <c r="B1811" s="1" t="s">
        <v>14</v>
      </c>
      <c r="C1811" s="1" t="s">
        <v>753</v>
      </c>
      <c r="D1811" s="1" t="str">
        <f>CONCATENATE("664-2014-EMV",CHAR(10),"2014/S 002-0017117 od 02.04.2014.")</f>
        <v>664-2014-EMV
2014/S 002-0017117 od 02.04.2014.</v>
      </c>
      <c r="E1811" s="1" t="s">
        <v>15</v>
      </c>
      <c r="F1811" s="1" t="str">
        <f>"747.896,00"</f>
        <v>747.896,00</v>
      </c>
      <c r="G1811" s="1" t="str">
        <f>CONCATENATE("29.07.2014.",CHAR(10),"12 mjeseci od dana uvođenja u posao")</f>
        <v>29.07.2014.
12 mjeseci od dana uvođenja u posao</v>
      </c>
      <c r="H1811" s="1" t="str">
        <f>CONCATENATE("MONTEL D.O.O., ZAGREB")</f>
        <v>MONTEL D.O.O., ZAGREB</v>
      </c>
      <c r="I1811" s="2"/>
      <c r="J1811" s="1"/>
      <c r="K1811" s="2"/>
    </row>
    <row r="1812" spans="1:11" ht="63" x14ac:dyDescent="0.25">
      <c r="A1812" s="1" t="str">
        <f>"382/2014"</f>
        <v>382/2014</v>
      </c>
      <c r="B1812" s="1" t="s">
        <v>14</v>
      </c>
      <c r="C1812" s="1" t="s">
        <v>754</v>
      </c>
      <c r="D1812" s="1" t="str">
        <f>CONCATENATE("666-2014-EMV",CHAR(10),"2014/S 002-0017301 od 02.04.2014.")</f>
        <v>666-2014-EMV
2014/S 002-0017301 od 02.04.2014.</v>
      </c>
      <c r="E1812" s="1" t="s">
        <v>15</v>
      </c>
      <c r="F1812" s="1" t="str">
        <f>"781.275,00"</f>
        <v>781.275,00</v>
      </c>
      <c r="G1812" s="1" t="str">
        <f>CONCATENATE("29.07.2014.",CHAR(10),"12 mjeseci od dana uvođenja u posao")</f>
        <v>29.07.2014.
12 mjeseci od dana uvođenja u posao</v>
      </c>
      <c r="H1812" s="1" t="str">
        <f>CONCATENATE("MONTEL D.O.O., ZAGREB")</f>
        <v>MONTEL D.O.O., ZAGREB</v>
      </c>
      <c r="I1812" s="2"/>
      <c r="J1812" s="1"/>
      <c r="K1812" s="2"/>
    </row>
    <row r="1813" spans="1:11" ht="47.25" x14ac:dyDescent="0.25">
      <c r="A1813" s="1" t="str">
        <f>"383/2014"</f>
        <v>383/2014</v>
      </c>
      <c r="B1813" s="1" t="s">
        <v>14</v>
      </c>
      <c r="C1813" s="1" t="s">
        <v>755</v>
      </c>
      <c r="D1813" s="1" t="str">
        <f>CONCATENATE("1343-2014-EMV",CHAR(10),"2014/S-002-0018770 od 10.04.2014.")</f>
        <v>1343-2014-EMV
2014/S-002-0018770 od 10.04.2014.</v>
      </c>
      <c r="E1813" s="1" t="s">
        <v>15</v>
      </c>
      <c r="F1813" s="1" t="str">
        <f>"1.491.657,80"</f>
        <v>1.491.657,80</v>
      </c>
      <c r="G1813" s="1" t="str">
        <f>CONCATENATE("29.07.2014.",CHAR(10),"90 dana od dana uvođenja u posao")</f>
        <v>29.07.2014.
90 dana od dana uvođenja u posao</v>
      </c>
      <c r="H1813" s="1" t="str">
        <f>CONCATENATE("P.G.P. D.O.O., ZAGREB")</f>
        <v>P.G.P. D.O.O., ZAGREB</v>
      </c>
      <c r="I1813" s="2"/>
      <c r="J1813" s="1"/>
      <c r="K1813" s="2"/>
    </row>
    <row r="1814" spans="1:11" ht="47.25" x14ac:dyDescent="0.25">
      <c r="A1814" s="1" t="str">
        <f>"384/2014"</f>
        <v>384/2014</v>
      </c>
      <c r="B1814" s="1" t="s">
        <v>136</v>
      </c>
      <c r="C1814" s="1" t="s">
        <v>756</v>
      </c>
      <c r="D1814" s="1" t="str">
        <f>CONCATENATE("2014-2202",CHAR(10),"2014/S 002-0029249 od 11.06.2014.")</f>
        <v>2014-2202
2014/S 002-0029249 od 11.06.2014.</v>
      </c>
      <c r="E1814" s="1" t="s">
        <v>366</v>
      </c>
      <c r="F1814" s="1" t="str">
        <f>"3.095.574,18"</f>
        <v>3.095.574,18</v>
      </c>
      <c r="G1814" s="1" t="str">
        <f>CONCATENATE("29.07.2014.",CHAR(10),"2 godine")</f>
        <v>29.07.2014.
2 godine</v>
      </c>
      <c r="H1814" s="1" t="str">
        <f>CONCATENATE("AUTO - MAG D.O.O., GORNJI STUPNIK")</f>
        <v>AUTO - MAG D.O.O., GORNJI STUPNIK</v>
      </c>
      <c r="I1814" s="2"/>
      <c r="J1814" s="1"/>
      <c r="K1814" s="1" t="s">
        <v>607</v>
      </c>
    </row>
    <row r="1815" spans="1:11" ht="63" x14ac:dyDescent="0.25">
      <c r="A1815" s="1" t="str">
        <f>"385/2014"</f>
        <v>385/2014</v>
      </c>
      <c r="B1815" s="1" t="s">
        <v>136</v>
      </c>
      <c r="C1815" s="1" t="s">
        <v>2805</v>
      </c>
      <c r="D1815" s="1" t="str">
        <f>CONCATENATE("2014-2203",CHAR(10),"2014/S 002-0025133 od 20.05.2014.")</f>
        <v>2014-2203
2014/S 002-0025133 od 20.05.2014.</v>
      </c>
      <c r="E1815" s="1" t="s">
        <v>366</v>
      </c>
      <c r="F1815" s="1" t="str">
        <f>"560.000,00"</f>
        <v>560.000,00</v>
      </c>
      <c r="G1815" s="1" t="str">
        <f>CONCATENATE("29.07.2014.",CHAR(10),"2 godine")</f>
        <v>29.07.2014.
2 godine</v>
      </c>
      <c r="H1815" s="1" t="str">
        <f>CONCATENATE("FANOS D.O.O., ZAGREB")</f>
        <v>FANOS D.O.O., ZAGREB</v>
      </c>
      <c r="I1815" s="2"/>
      <c r="J1815" s="1"/>
      <c r="K1815" s="1" t="s">
        <v>607</v>
      </c>
    </row>
    <row r="1816" spans="1:11" ht="47.25" x14ac:dyDescent="0.25">
      <c r="A1816" s="1" t="str">
        <f>"386/2014"</f>
        <v>386/2014</v>
      </c>
      <c r="B1816" s="1" t="s">
        <v>136</v>
      </c>
      <c r="C1816" s="1" t="s">
        <v>757</v>
      </c>
      <c r="D1816" s="1" t="str">
        <f>CONCATENATE("2014-272",CHAR(10),"2014/S 002-0023240 od 09.05.2014.")</f>
        <v>2014-272
2014/S 002-0023240 od 09.05.2014.</v>
      </c>
      <c r="E1816" s="1" t="s">
        <v>366</v>
      </c>
      <c r="F1816" s="1" t="str">
        <f>"204.500,00"</f>
        <v>204.500,00</v>
      </c>
      <c r="G1816" s="1" t="str">
        <f>CONCATENATE("29.07.2014.",CHAR(10),"2 godine")</f>
        <v>29.07.2014.
2 godine</v>
      </c>
      <c r="H1816" s="1" t="str">
        <f>CONCATENATE("RO-TEHNOLOGIJA D.O.O., OPATIJA")</f>
        <v>RO-TEHNOLOGIJA D.O.O., OPATIJA</v>
      </c>
      <c r="I1816" s="2"/>
      <c r="J1816" s="1"/>
      <c r="K1816" s="1" t="s">
        <v>607</v>
      </c>
    </row>
    <row r="1817" spans="1:11" ht="47.25" x14ac:dyDescent="0.25">
      <c r="A1817" s="1" t="str">
        <f>"387/2014"</f>
        <v>387/2014</v>
      </c>
      <c r="B1817" s="1" t="s">
        <v>14</v>
      </c>
      <c r="C1817" s="1" t="s">
        <v>758</v>
      </c>
      <c r="D1817" s="1" t="str">
        <f>CONCATENATE("2014-543",CHAR(10),"2014/S 002-0023603 od 12.05.2014.")</f>
        <v>2014-543
2014/S 002-0023603 od 12.05.2014.</v>
      </c>
      <c r="E1817" s="1" t="s">
        <v>15</v>
      </c>
      <c r="F1817" s="1" t="str">
        <f>"289.280,00"</f>
        <v>289.280,00</v>
      </c>
      <c r="G1817" s="1" t="str">
        <f>CONCATENATE("29.07.2014.",CHAR(10),"90 dana od dana obostranog potpisa Ugovora")</f>
        <v>29.07.2014.
90 dana od dana obostranog potpisa Ugovora</v>
      </c>
      <c r="H1817" s="1" t="str">
        <f>CONCATENATE("FALCON ELECTRONIC  D.O.O., SLAVONSKI BROD")</f>
        <v>FALCON ELECTRONIC  D.O.O., SLAVONSKI BROD</v>
      </c>
      <c r="I1817" s="1" t="s">
        <v>128</v>
      </c>
      <c r="J1817" s="1" t="str">
        <f>SUBSTITUTE(SUBSTITUTE(SUBSTITUTE("361,600.00",".","-"),",","."),"-",",")</f>
        <v>361.600,00</v>
      </c>
      <c r="K1817" s="1" t="s">
        <v>607</v>
      </c>
    </row>
    <row r="1818" spans="1:11" ht="47.25" x14ac:dyDescent="0.25">
      <c r="A1818" s="1" t="str">
        <f>"388/2014"</f>
        <v>388/2014</v>
      </c>
      <c r="B1818" s="1" t="s">
        <v>14</v>
      </c>
      <c r="C1818" s="1" t="s">
        <v>759</v>
      </c>
      <c r="D1818" s="1" t="str">
        <f>CONCATENATE("7-2014-EMV",CHAR(10),"2014/S 002-0026420 od 28.05.2014.")</f>
        <v>7-2014-EMV
2014/S 002-0026420 od 28.05.2014.</v>
      </c>
      <c r="E1818" s="1" t="s">
        <v>15</v>
      </c>
      <c r="F1818" s="1" t="str">
        <f>"433.102,80"</f>
        <v>433.102,80</v>
      </c>
      <c r="G1818" s="1" t="str">
        <f>CONCATENATE("30.07.2014.",CHAR(10),"12 mjeseci od dana obostranog potpisa Ugovora")</f>
        <v>30.07.2014.
12 mjeseci od dana obostranog potpisa Ugovora</v>
      </c>
      <c r="H1818" s="1" t="str">
        <f>CONCATENATE("ADRIA GRUPA D.O.O., ZAGREB")</f>
        <v>ADRIA GRUPA D.O.O., ZAGREB</v>
      </c>
      <c r="I1818" s="2"/>
      <c r="J1818" s="1"/>
      <c r="K1818" s="2"/>
    </row>
    <row r="1819" spans="1:11" ht="47.25" x14ac:dyDescent="0.25">
      <c r="A1819" s="1" t="str">
        <f>"389/2014"</f>
        <v>389/2014</v>
      </c>
      <c r="B1819" s="1" t="s">
        <v>14</v>
      </c>
      <c r="C1819" s="1" t="s">
        <v>760</v>
      </c>
      <c r="D1819" s="1" t="str">
        <f>CONCATENATE("2014-2258",CHAR(10),"2014/S 002-0027608 od 03.06.2014.")</f>
        <v>2014-2258
2014/S 002-0027608 od 03.06.2014.</v>
      </c>
      <c r="E1819" s="1" t="s">
        <v>15</v>
      </c>
      <c r="F1819" s="1" t="str">
        <f>"192.600,00"</f>
        <v>192.600,00</v>
      </c>
      <c r="G1819" s="1" t="str">
        <f>CONCATENATE("31.07.2014.",CHAR(10),"1 godina od dana nastanka ugovornog odnosa")</f>
        <v>31.07.2014.
1 godina od dana nastanka ugovornog odnosa</v>
      </c>
      <c r="H1819" s="1" t="str">
        <f>CONCATENATE("ELOB D.O.O., ZAGREB")</f>
        <v>ELOB D.O.O., ZAGREB</v>
      </c>
      <c r="I1819" s="2"/>
      <c r="J1819" s="1"/>
      <c r="K1819" s="1" t="s">
        <v>607</v>
      </c>
    </row>
    <row r="1820" spans="1:11" ht="63" x14ac:dyDescent="0.25">
      <c r="A1820" s="1" t="str">
        <f>"390/2014"</f>
        <v>390/2014</v>
      </c>
      <c r="B1820" s="1" t="s">
        <v>136</v>
      </c>
      <c r="C1820" s="1" t="s">
        <v>2806</v>
      </c>
      <c r="D1820" s="1" t="str">
        <f>CONCATENATE("2014-2203",CHAR(10),"2014/S 002-0025133 od 20.05.2014.")</f>
        <v>2014-2203
2014/S 002-0025133 od 20.05.2014.</v>
      </c>
      <c r="E1820" s="1" t="s">
        <v>366</v>
      </c>
      <c r="F1820" s="1" t="str">
        <f>"646.600,00"</f>
        <v>646.600,00</v>
      </c>
      <c r="G1820" s="1" t="str">
        <f>CONCATENATE("31.07.2014.",CHAR(10),"2 godine")</f>
        <v>31.07.2014.
2 godine</v>
      </c>
      <c r="H1820" s="1" t="str">
        <f>CONCATENATE("PEEK PROMET D.O.O., ZAGREB")</f>
        <v>PEEK PROMET D.O.O., ZAGREB</v>
      </c>
      <c r="I1820" s="2"/>
      <c r="J1820" s="1"/>
      <c r="K1820" s="1" t="s">
        <v>607</v>
      </c>
    </row>
    <row r="1821" spans="1:11" ht="78.75" x14ac:dyDescent="0.25">
      <c r="A1821" s="1" t="str">
        <f>"391/2014"</f>
        <v>391/2014</v>
      </c>
      <c r="B1821" s="1" t="s">
        <v>14</v>
      </c>
      <c r="C1821" s="1" t="s">
        <v>761</v>
      </c>
      <c r="D1821" s="1" t="str">
        <f>CONCATENATE("2014-2071",CHAR(10),"2014/S 002-0018165 od 07.04.2014 te ispravak br. 2014/S 014-0026690 od 30.05.2014.")</f>
        <v>2014-2071
2014/S 002-0018165 od 07.04.2014 te ispravak br. 2014/S 014-0026690 od 30.05.2014.</v>
      </c>
      <c r="E1821" s="1" t="s">
        <v>15</v>
      </c>
      <c r="F1821" s="1" t="str">
        <f>"5.284.725,25"</f>
        <v>5.284.725,25</v>
      </c>
      <c r="G1821" s="1" t="str">
        <f>CONCATENATE("31.07.2014.",CHAR(10),"250 dana od dana uvođenja u posao")</f>
        <v>31.07.2014.
250 dana od dana uvođenja u posao</v>
      </c>
      <c r="H1821" s="1" t="str">
        <f>CONCATENATE("GEORAD D.O.O., ZAGREB")</f>
        <v>GEORAD D.O.O., ZAGREB</v>
      </c>
      <c r="I1821" s="2"/>
      <c r="J1821" s="1"/>
      <c r="K1821" s="1" t="s">
        <v>607</v>
      </c>
    </row>
    <row r="1822" spans="1:11" ht="47.25" x14ac:dyDescent="0.25">
      <c r="A1822" s="1" t="str">
        <f>"393/2014"</f>
        <v>393/2014</v>
      </c>
      <c r="B1822" s="1" t="s">
        <v>136</v>
      </c>
      <c r="C1822" s="1" t="s">
        <v>762</v>
      </c>
      <c r="D1822" s="1" t="str">
        <f>CONCATENATE("Z-2014-5",CHAR(10),"2014/S 002-0018821 od 10.04.2014.")</f>
        <v>Z-2014-5
2014/S 002-0018821 od 10.04.2014.</v>
      </c>
      <c r="E1822" s="1" t="s">
        <v>366</v>
      </c>
      <c r="F1822" s="1" t="str">
        <f>"2.347.919,42"</f>
        <v>2.347.919,42</v>
      </c>
      <c r="G1822" s="1" t="str">
        <f>CONCATENATE("29.07.2014.",CHAR(10),"2 godine")</f>
        <v>29.07.2014.
2 godine</v>
      </c>
      <c r="H1822" s="1" t="str">
        <f>CONCATENATE("JADRANKA TRGOVINA D.O.O., MALI LOŠINJ")</f>
        <v>JADRANKA TRGOVINA D.O.O., MALI LOŠINJ</v>
      </c>
      <c r="I1822" s="2"/>
      <c r="J1822" s="1"/>
      <c r="K1822" s="1" t="s">
        <v>607</v>
      </c>
    </row>
    <row r="1823" spans="1:11" ht="47.25" x14ac:dyDescent="0.25">
      <c r="A1823" s="1" t="str">
        <f>"394/2014"</f>
        <v>394/2014</v>
      </c>
      <c r="B1823" s="1" t="s">
        <v>136</v>
      </c>
      <c r="C1823" s="1" t="s">
        <v>2807</v>
      </c>
      <c r="D1823" s="1" t="str">
        <f>CONCATENATE("2014-2154",CHAR(10),"2014/S-002-0019505 od 15.04.2014.")</f>
        <v>2014-2154
2014/S-002-0019505 od 15.04.2014.</v>
      </c>
      <c r="E1823" s="1" t="s">
        <v>366</v>
      </c>
      <c r="F1823" s="1" t="str">
        <f>"1.506.650,00"</f>
        <v>1.506.650,00</v>
      </c>
      <c r="G1823" s="1" t="str">
        <f>CONCATENATE("30.07.2014.",CHAR(10),"2 godine")</f>
        <v>30.07.2014.
2 godine</v>
      </c>
      <c r="H1823" s="1" t="str">
        <f>CONCATENATE("SAMOBORKA D.D., SAMOBOR")</f>
        <v>SAMOBORKA D.D., SAMOBOR</v>
      </c>
      <c r="I1823" s="2"/>
      <c r="J1823" s="1"/>
      <c r="K1823" s="1" t="s">
        <v>607</v>
      </c>
    </row>
    <row r="1824" spans="1:11" ht="47.25" x14ac:dyDescent="0.25">
      <c r="A1824" s="1" t="str">
        <f>"395/2014"</f>
        <v>395/2014</v>
      </c>
      <c r="B1824" s="1" t="s">
        <v>14</v>
      </c>
      <c r="C1824" s="1" t="s">
        <v>763</v>
      </c>
      <c r="D1824" s="1" t="str">
        <f>CONCATENATE("2518-2014-EMV",CHAR(10),"2014/S 002-0024353 od 15.05.2014.")</f>
        <v>2518-2014-EMV
2014/S 002-0024353 od 15.05.2014.</v>
      </c>
      <c r="E1824" s="1" t="s">
        <v>15</v>
      </c>
      <c r="F1824" s="1" t="str">
        <f>"224.464,05"</f>
        <v>224.464,05</v>
      </c>
      <c r="G1824" s="1" t="str">
        <f>CONCATENATE("30.07.2014.",CHAR(10),"12 mjeseci od nastanka ugovornog odnosa")</f>
        <v>30.07.2014.
12 mjeseci od nastanka ugovornog odnosa</v>
      </c>
      <c r="H1824" s="1" t="str">
        <f>CONCATENATE("ORYX GRUPA D.O.O., SESVETE")</f>
        <v>ORYX GRUPA D.O.O., SESVETE</v>
      </c>
      <c r="I1824" s="2"/>
      <c r="J1824" s="1"/>
      <c r="K1824" s="2"/>
    </row>
    <row r="1825" spans="1:11" ht="78.75" x14ac:dyDescent="0.25">
      <c r="A1825" s="1" t="str">
        <f>"396/2014"</f>
        <v>396/2014</v>
      </c>
      <c r="B1825" s="1" t="s">
        <v>14</v>
      </c>
      <c r="C1825" s="1" t="s">
        <v>2808</v>
      </c>
      <c r="D1825" s="1" t="str">
        <f>"2041-2014-EBV"</f>
        <v>2041-2014-EBV</v>
      </c>
      <c r="E1825" s="1" t="s">
        <v>12</v>
      </c>
      <c r="F1825" s="1" t="str">
        <f>"11.400,00"</f>
        <v>11.400,00</v>
      </c>
      <c r="G1825" s="1" t="str">
        <f>CONCATENATE("01.08.2014.",CHAR(10),"60 dana od dana obostranog potpisa Ugovora")</f>
        <v>01.08.2014.
60 dana od dana obostranog potpisa Ugovora</v>
      </c>
      <c r="H1825" s="1" t="str">
        <f>CONCATENATE("1. Zajednica ponuditelja: ",CHAR(10),"    PGT ŠKUNCA D.O.O., ZAGREB-SUSEDGRAD",CHAR(10),"    GEODATA PROJEKT D.O.O., ZAGREB")</f>
        <v>1. Zajednica ponuditelja: 
    PGT ŠKUNCA D.O.O., ZAGREB-SUSEDGRAD
    GEODATA PROJEKT D.O.O., ZAGREB</v>
      </c>
      <c r="I1825" s="2"/>
      <c r="J1825" s="1"/>
      <c r="K1825" s="2"/>
    </row>
    <row r="1826" spans="1:11" ht="47.25" x14ac:dyDescent="0.25">
      <c r="A1826" s="1" t="str">
        <f>"397/2014"</f>
        <v>397/2014</v>
      </c>
      <c r="B1826" s="1" t="s">
        <v>14</v>
      </c>
      <c r="C1826" s="1" t="s">
        <v>764</v>
      </c>
      <c r="D1826" s="1" t="str">
        <f>CONCATENATE("1306-2014-EMV",CHAR(10),"2014/S 002-0019603 od 15.04.2014.")</f>
        <v>1306-2014-EMV
2014/S 002-0019603 od 15.04.2014.</v>
      </c>
      <c r="E1826" s="1" t="s">
        <v>15</v>
      </c>
      <c r="F1826" s="1" t="str">
        <f>"954.586,74"</f>
        <v>954.586,74</v>
      </c>
      <c r="G1826" s="1" t="str">
        <f>CONCATENATE("01.08.2014.",CHAR(10),"60 dana od dana uvođenja u posao")</f>
        <v>01.08.2014.
60 dana od dana uvođenja u posao</v>
      </c>
      <c r="H1826" s="1" t="str">
        <f>CONCATENATE("NERING D.O.O., SESVETE")</f>
        <v>NERING D.O.O., SESVETE</v>
      </c>
      <c r="I1826" s="2"/>
      <c r="J1826" s="1"/>
      <c r="K1826" s="2"/>
    </row>
    <row r="1827" spans="1:11" ht="63" x14ac:dyDescent="0.25">
      <c r="A1827" s="1" t="str">
        <f>"398/2014"</f>
        <v>398/2014</v>
      </c>
      <c r="B1827" s="1" t="s">
        <v>136</v>
      </c>
      <c r="C1827" s="1" t="s">
        <v>765</v>
      </c>
      <c r="D1827" s="1" t="str">
        <f>CONCATENATE("2014-994",CHAR(10),"2014/S 002-0029287 od 11.06.2014.")</f>
        <v>2014-994
2014/S 002-0029287 od 11.06.2014.</v>
      </c>
      <c r="E1827" s="1" t="s">
        <v>366</v>
      </c>
      <c r="F1827" s="1" t="str">
        <f>"461.498,00"</f>
        <v>461.498,00</v>
      </c>
      <c r="G1827" s="1" t="str">
        <f>CONCATENATE("30.07.2014.",CHAR(10),"2 godine")</f>
        <v>30.07.2014.
2 godine</v>
      </c>
      <c r="H1827" s="1" t="str">
        <f>CONCATENATE("1. Zajednica ponuditelja: ",CHAR(10),"    LIBRA TEHNIČAR D.O.O., ZAGREB",CHAR(10),"    MIKROTEHNA D.O.O., ZAGREB",CHAR(10),"2. VAGE D.O.O., ZAGREB")</f>
        <v>1. Zajednica ponuditelja: 
    LIBRA TEHNIČAR D.O.O., ZAGREB
    MIKROTEHNA D.O.O., ZAGREB
2. VAGE D.O.O., ZAGREB</v>
      </c>
      <c r="I1827" s="2"/>
      <c r="J1827" s="1"/>
      <c r="K1827" s="1" t="s">
        <v>607</v>
      </c>
    </row>
    <row r="1828" spans="1:11" ht="47.25" x14ac:dyDescent="0.25">
      <c r="A1828" s="1" t="str">
        <f>"399/2014"</f>
        <v>399/2014</v>
      </c>
      <c r="B1828" s="1" t="s">
        <v>14</v>
      </c>
      <c r="C1828" s="1" t="s">
        <v>766</v>
      </c>
      <c r="D1828" s="1" t="str">
        <f>"2-2014-EMV"</f>
        <v>2-2014-EMV</v>
      </c>
      <c r="E1828" s="1" t="s">
        <v>40</v>
      </c>
      <c r="F1828" s="1" t="str">
        <f>"224.540,00"</f>
        <v>224.540,00</v>
      </c>
      <c r="G1828" s="1" t="str">
        <f>CONCATENATE("30.07.2014.",CHAR(10),"12 mjeseci od dana obostranog potpisa")</f>
        <v>30.07.2014.
12 mjeseci od dana obostranog potpisa</v>
      </c>
      <c r="H1828" s="1" t="str">
        <f>CONCATENATE("SPLENDID UGOSTITELJSTVO D.O.O., ZAGREB")</f>
        <v>SPLENDID UGOSTITELJSTVO D.O.O., ZAGREB</v>
      </c>
      <c r="I1828" s="2"/>
      <c r="J1828" s="1"/>
      <c r="K1828" s="2"/>
    </row>
    <row r="1829" spans="1:11" ht="47.25" x14ac:dyDescent="0.25">
      <c r="A1829" s="1" t="str">
        <f>"A-92/2014"</f>
        <v>A-92/2014</v>
      </c>
      <c r="B1829" s="1" t="s">
        <v>11</v>
      </c>
      <c r="C1829" s="1" t="s">
        <v>767</v>
      </c>
      <c r="D1829" s="1" t="str">
        <f>"740-2012-EMV"</f>
        <v>740-2012-EMV</v>
      </c>
      <c r="E1829" s="2"/>
      <c r="F1829" s="1" t="str">
        <f>"0,00"</f>
        <v>0,00</v>
      </c>
      <c r="G1829" s="1" t="str">
        <f>CONCATENATE("04.08.2014.",CHAR(10),"03.10.2014")</f>
        <v>04.08.2014.
03.10.2014</v>
      </c>
      <c r="H1829" s="1" t="str">
        <f>CONCATENATE("1. Zajednica ponuditelja: ",CHAR(10),"    TA-GRAD D.O.O., ZAGREB",CHAR(10),"    TERRACOTTA D.O.O., ZAGREB")</f>
        <v>1. Zajednica ponuditelja: 
    TA-GRAD D.O.O., ZAGREB
    TERRACOTTA D.O.O., ZAGREB</v>
      </c>
      <c r="I1829" s="2"/>
      <c r="J1829" s="1"/>
      <c r="K1829" s="2"/>
    </row>
    <row r="1830" spans="1:11" ht="47.25" x14ac:dyDescent="0.25">
      <c r="A1830" s="1" t="str">
        <f>"401/2014"</f>
        <v>401/2014</v>
      </c>
      <c r="B1830" s="1" t="s">
        <v>136</v>
      </c>
      <c r="C1830" s="1" t="s">
        <v>768</v>
      </c>
      <c r="D1830" s="1" t="str">
        <f>CONCATENATE("2014-792",CHAR(10),"2014/S 002-0024456 od 16.05.2014.")</f>
        <v>2014-792
2014/S 002-0024456 od 16.05.2014.</v>
      </c>
      <c r="E1830" s="1" t="s">
        <v>366</v>
      </c>
      <c r="F1830" s="1" t="str">
        <f>"2.009.739,20"</f>
        <v>2.009.739,20</v>
      </c>
      <c r="G1830" s="1" t="str">
        <f>CONCATENATE("07.08.2014.",CHAR(10),"2 godine")</f>
        <v>07.08.2014.
2 godine</v>
      </c>
      <c r="H1830" s="1" t="str">
        <f>CONCATENATE("DOMEL D.O.O., ZAGREB")</f>
        <v>DOMEL D.O.O., ZAGREB</v>
      </c>
      <c r="I1830" s="2"/>
      <c r="J1830" s="1"/>
      <c r="K1830" s="1" t="s">
        <v>607</v>
      </c>
    </row>
    <row r="1831" spans="1:11" ht="47.25" x14ac:dyDescent="0.25">
      <c r="A1831" s="1" t="str">
        <f>"402/2014"</f>
        <v>402/2014</v>
      </c>
      <c r="B1831" s="1" t="s">
        <v>136</v>
      </c>
      <c r="C1831" s="1" t="s">
        <v>769</v>
      </c>
      <c r="D1831" s="1" t="str">
        <f>CONCATENATE("2014-96",CHAR(10),"2014/S 002-0014291 od 20.03.2014.")</f>
        <v>2014-96
2014/S 002-0014291 od 20.03.2014.</v>
      </c>
      <c r="E1831" s="1" t="s">
        <v>366</v>
      </c>
      <c r="F1831" s="1" t="str">
        <f>"104.053.600,00"</f>
        <v>104.053.600,00</v>
      </c>
      <c r="G1831" s="1" t="str">
        <f>CONCATENATE("06.08.2014.",CHAR(10),"2 godine")</f>
        <v>06.08.2014.
2 godine</v>
      </c>
      <c r="H1831" s="1" t="str">
        <f>CONCATENATE("MBM D.O.O., LUČKO")</f>
        <v>MBM D.O.O., LUČKO</v>
      </c>
      <c r="I1831" s="2"/>
      <c r="J1831" s="1"/>
      <c r="K1831" s="1" t="s">
        <v>607</v>
      </c>
    </row>
    <row r="1832" spans="1:11" ht="47.25" x14ac:dyDescent="0.25">
      <c r="A1832" s="1" t="str">
        <f>"403/2014"</f>
        <v>403/2014</v>
      </c>
      <c r="B1832" s="1" t="s">
        <v>14</v>
      </c>
      <c r="C1832" s="1" t="s">
        <v>2809</v>
      </c>
      <c r="D1832" s="1" t="str">
        <f>CONCATENATE("1130-2013-EMV",CHAR(10),"2013/S 002-0031522 od 05.04.2013.")</f>
        <v>1130-2013-EMV
2013/S 002-0031522 od 05.04.2013.</v>
      </c>
      <c r="E1832" s="1" t="s">
        <v>15</v>
      </c>
      <c r="F1832" s="1" t="str">
        <f>"584.774,05"</f>
        <v>584.774,05</v>
      </c>
      <c r="G1832" s="1" t="str">
        <f>CONCATENATE("04.08.2014.",CHAR(10),"10 mjeseci od dana uvođenja u posao")</f>
        <v>04.08.2014.
10 mjeseci od dana uvođenja u posao</v>
      </c>
      <c r="H1832" s="1" t="str">
        <f>CONCATENATE("1. Zajednica ponuditelja: ",CHAR(10),"    TEH-GRADNJA D.O.O., ZAGREB",CHAR(10),"    ŠPATULA D.O.O., VARAŽDIN")</f>
        <v>1. Zajednica ponuditelja: 
    TEH-GRADNJA D.O.O., ZAGREB
    ŠPATULA D.O.O., VARAŽDIN</v>
      </c>
      <c r="I1832" s="2"/>
      <c r="J1832" s="1"/>
      <c r="K1832" s="2"/>
    </row>
    <row r="1833" spans="1:11" ht="47.25" x14ac:dyDescent="0.25">
      <c r="A1833" s="1" t="str">
        <f>"404/2014"</f>
        <v>404/2014</v>
      </c>
      <c r="B1833" s="1" t="s">
        <v>14</v>
      </c>
      <c r="C1833" s="1" t="s">
        <v>770</v>
      </c>
      <c r="D1833" s="1" t="str">
        <f>CONCATENATE("694-2014-EMV",CHAR(10),"2014/S 002-0021079 od 24.04.2014.")</f>
        <v>694-2014-EMV
2014/S 002-0021079 od 24.04.2014.</v>
      </c>
      <c r="E1833" s="1" t="s">
        <v>15</v>
      </c>
      <c r="F1833" s="1" t="str">
        <f>"244.170,00"</f>
        <v>244.170,00</v>
      </c>
      <c r="G1833" s="1" t="str">
        <f>CONCATENATE("31.07.2014.",CHAR(10),"12 mjeseci od dana uvođenja u posao")</f>
        <v>31.07.2014.
12 mjeseci od dana uvođenja u posao</v>
      </c>
      <c r="H1833" s="1" t="str">
        <f>CONCATENATE("MONTEL D.O.O., ZAGREB")</f>
        <v>MONTEL D.O.O., ZAGREB</v>
      </c>
      <c r="I1833" s="2"/>
      <c r="J1833" s="1"/>
      <c r="K1833" s="2"/>
    </row>
    <row r="1834" spans="1:11" ht="63" x14ac:dyDescent="0.25">
      <c r="A1834" s="1" t="str">
        <f>"405/2014"</f>
        <v>405/2014</v>
      </c>
      <c r="B1834" s="1" t="s">
        <v>136</v>
      </c>
      <c r="C1834" s="1" t="s">
        <v>2810</v>
      </c>
      <c r="D1834" s="1" t="str">
        <f>CONCATENATE("Z-2014-5",CHAR(10),"2014/S 002-0018821 od 10.04.2014.")</f>
        <v>Z-2014-5
2014/S 002-0018821 od 10.04.2014.</v>
      </c>
      <c r="E1834" s="1" t="s">
        <v>366</v>
      </c>
      <c r="F1834" s="1" t="str">
        <f>"10.921.556,09"</f>
        <v>10.921.556,09</v>
      </c>
      <c r="G1834" s="1" t="str">
        <f>CONCATENATE("07.08.2014.",CHAR(10),"2 godine")</f>
        <v>07.08.2014.
2 godine</v>
      </c>
      <c r="H1834" s="1" t="str">
        <f>CONCATENATE("1. Zajednica ponuditelja: ",CHAR(10),"    KONZUM D.D., ZAGREB",CHAR(10),"    ŽITNJAK D.D., ZAGREB")</f>
        <v>1. Zajednica ponuditelja: 
    KONZUM D.D., ZAGREB
    ŽITNJAK D.D., ZAGREB</v>
      </c>
      <c r="I1834" s="2"/>
      <c r="J1834" s="1"/>
      <c r="K1834" s="1" t="s">
        <v>607</v>
      </c>
    </row>
    <row r="1835" spans="1:11" ht="47.25" x14ac:dyDescent="0.25">
      <c r="A1835" s="1" t="str">
        <f>"406/2014"</f>
        <v>406/2014</v>
      </c>
      <c r="B1835" s="1" t="s">
        <v>14</v>
      </c>
      <c r="C1835" s="1" t="s">
        <v>771</v>
      </c>
      <c r="D1835" s="1" t="str">
        <f>CONCATENATE("1134-2014-EBV",CHAR(10),"2014/S 015-0035688 od 22.07.2014.")</f>
        <v>1134-2014-EBV
2014/S 015-0035688 od 22.07.2014.</v>
      </c>
      <c r="E1835" s="1" t="s">
        <v>12</v>
      </c>
      <c r="F1835" s="1" t="str">
        <f>"338.402,39"</f>
        <v>338.402,39</v>
      </c>
      <c r="G1835" s="1" t="str">
        <f>CONCATENATE("07.08.2014.",CHAR(10),"45 dana od dana uvođenja u posao")</f>
        <v>07.08.2014.
45 dana od dana uvođenja u posao</v>
      </c>
      <c r="H1835" s="1" t="str">
        <f>CONCATENATE("PUGAR D.O.O., VELIKA GORICA")</f>
        <v>PUGAR D.O.O., VELIKA GORICA</v>
      </c>
      <c r="I1835" s="2"/>
      <c r="J1835" s="1"/>
      <c r="K1835" s="2"/>
    </row>
    <row r="1836" spans="1:11" ht="47.25" x14ac:dyDescent="0.25">
      <c r="A1836" s="1" t="str">
        <f>"407/2014"</f>
        <v>407/2014</v>
      </c>
      <c r="B1836" s="1" t="s">
        <v>14</v>
      </c>
      <c r="C1836" s="1" t="s">
        <v>772</v>
      </c>
      <c r="D1836" s="1" t="str">
        <f>CONCATENATE("2074-2014-EMV",CHAR(10),"2014/S 002-0022726 od 07.05.2014.")</f>
        <v>2074-2014-EMV
2014/S 002-0022726 od 07.05.2014.</v>
      </c>
      <c r="E1836" s="1" t="s">
        <v>15</v>
      </c>
      <c r="F1836" s="1" t="str">
        <f>"334.025,00"</f>
        <v>334.025,00</v>
      </c>
      <c r="G1836" s="1" t="str">
        <f>CONCATENATE("01.08.2014.",CHAR(10),"12 mjeseci od dana obostranog potpisa Ugovora")</f>
        <v>01.08.2014.
12 mjeseci od dana obostranog potpisa Ugovora</v>
      </c>
      <c r="H1836" s="1" t="str">
        <f>CONCATENATE("TERMORAD D.O.O., ZAGREB")</f>
        <v>TERMORAD D.O.O., ZAGREB</v>
      </c>
      <c r="I1836" s="2"/>
      <c r="J1836" s="1"/>
      <c r="K1836" s="2"/>
    </row>
    <row r="1837" spans="1:11" ht="110.25" x14ac:dyDescent="0.25">
      <c r="A1837" s="1" t="str">
        <f>"A-93/2014"</f>
        <v>A-93/2014</v>
      </c>
      <c r="B1837" s="1" t="s">
        <v>11</v>
      </c>
      <c r="C1837" s="1" t="s">
        <v>773</v>
      </c>
      <c r="D1837" s="1" t="str">
        <f>"1979-2012-EMV"</f>
        <v>1979-2012-EMV</v>
      </c>
      <c r="E1837" s="2"/>
      <c r="F1837" s="1" t="str">
        <f>"0,00"</f>
        <v>0,00</v>
      </c>
      <c r="G1837" s="1" t="str">
        <f>CONCATENATE("07.08.2014.",CHAR(10),"31.12.2014")</f>
        <v>07.08.2014.
31.12.2014</v>
      </c>
      <c r="H1837" s="1" t="str">
        <f>CONCATENATE("1. Zajednica ponuditelja: ",CHAR(10),"    INŽENJERSKI PROJEKTNI ZAVOD D.D., ZAGREB",CHAR(10),"    GEO-BIM D.O.O., SAMOBOR")</f>
        <v>1. Zajednica ponuditelja: 
    INŽENJERSKI PROJEKTNI ZAVOD D.D., ZAGREB
    GEO-BIM D.O.O., SAMOBOR</v>
      </c>
      <c r="I1837" s="2"/>
      <c r="J1837" s="1"/>
      <c r="K1837" s="2"/>
    </row>
    <row r="1838" spans="1:11" ht="78.75" x14ac:dyDescent="0.25">
      <c r="A1838" s="1" t="str">
        <f>"408/2014"</f>
        <v>408/2014</v>
      </c>
      <c r="B1838" s="1" t="s">
        <v>136</v>
      </c>
      <c r="C1838" s="1" t="s">
        <v>2811</v>
      </c>
      <c r="D1838" s="1" t="str">
        <f>CONCATENATE("2014-45",CHAR(10),"2014/S-002-0027620 od 03.06.2014.")</f>
        <v>2014-45
2014/S-002-0027620 od 03.06.2014.</v>
      </c>
      <c r="E1838" s="1" t="s">
        <v>366</v>
      </c>
      <c r="F1838" s="1" t="str">
        <f>"5.981.216,00"</f>
        <v>5.981.216,00</v>
      </c>
      <c r="G1838" s="1" t="str">
        <f>CONCATENATE("07.08.2014.",CHAR(10),"2 godine")</f>
        <v>07.08.2014.
2 godine</v>
      </c>
      <c r="H1838" s="1" t="str">
        <f>CONCATENATE("ATRON ELECRRONIC GMBH, PODRUŽNICA ZAGREB, ZAGREB")</f>
        <v>ATRON ELECRRONIC GMBH, PODRUŽNICA ZAGREB, ZAGREB</v>
      </c>
      <c r="I1838" s="2"/>
      <c r="J1838" s="1"/>
      <c r="K1838" s="1" t="s">
        <v>607</v>
      </c>
    </row>
    <row r="1839" spans="1:11" ht="78.75" x14ac:dyDescent="0.25">
      <c r="A1839" s="1" t="str">
        <f>"409/2014"</f>
        <v>409/2014</v>
      </c>
      <c r="B1839" s="1" t="s">
        <v>14</v>
      </c>
      <c r="C1839" s="1" t="s">
        <v>774</v>
      </c>
      <c r="D1839" s="1" t="str">
        <f>CONCATENATE("1252-2014-EMV",CHAR(10),"2014/S 002-0021053 od 24.04.2014 i ispravak br. 2014/S 014-0024635 od 19.05.2014.")</f>
        <v>1252-2014-EMV
2014/S 002-0021053 od 24.04.2014 i ispravak br. 2014/S 014-0024635 od 19.05.2014.</v>
      </c>
      <c r="E1839" s="1" t="s">
        <v>15</v>
      </c>
      <c r="F1839" s="1" t="str">
        <f>"1.657.473,14"</f>
        <v>1.657.473,14</v>
      </c>
      <c r="G1839" s="1" t="str">
        <f>CONCATENATE("07.08.2014.",CHAR(10),"12 mjeseci od dana uvođenja u posao")</f>
        <v>07.08.2014.
12 mjeseci od dana uvođenja u posao</v>
      </c>
      <c r="H1839" s="1" t="str">
        <f>CONCATENATE("1. Zajednica ponuditelja: ",CHAR(10),"    TA-GRAD D.O.O., ZAGREB",CHAR(10),"    TERRACOTTA D.O.O., ZAGREB")</f>
        <v>1. Zajednica ponuditelja: 
    TA-GRAD D.O.O., ZAGREB
    TERRACOTTA D.O.O., ZAGREB</v>
      </c>
      <c r="I1839" s="2"/>
      <c r="J1839" s="1"/>
      <c r="K1839" s="2"/>
    </row>
    <row r="1840" spans="1:11" ht="47.25" x14ac:dyDescent="0.25">
      <c r="A1840" s="1" t="str">
        <f>"411/2014"</f>
        <v>411/2014</v>
      </c>
      <c r="B1840" s="1" t="s">
        <v>136</v>
      </c>
      <c r="C1840" s="1" t="s">
        <v>775</v>
      </c>
      <c r="D1840" s="1" t="str">
        <f>CONCATENATE("2014-49",CHAR(10),"2014/S 002-0028410 od 06.06.2014.")</f>
        <v>2014-49
2014/S 002-0028410 od 06.06.2014.</v>
      </c>
      <c r="E1840" s="1" t="s">
        <v>366</v>
      </c>
      <c r="F1840" s="1" t="str">
        <f>"1.944.273,00"</f>
        <v>1.944.273,00</v>
      </c>
      <c r="G1840" s="1" t="str">
        <f>CONCATENATE("08.08.2014.",CHAR(10),"2 godine")</f>
        <v>08.08.2014.
2 godine</v>
      </c>
      <c r="H1840" s="1" t="str">
        <f>CONCATENATE("INDUSTROOPREMA D.O.O, ZAGREB")</f>
        <v>INDUSTROOPREMA D.O.O, ZAGREB</v>
      </c>
      <c r="I1840" s="2"/>
      <c r="J1840" s="1"/>
      <c r="K1840" s="1" t="s">
        <v>607</v>
      </c>
    </row>
    <row r="1841" spans="1:11" ht="94.5" x14ac:dyDescent="0.25">
      <c r="A1841" s="1" t="str">
        <f>"412/2014"</f>
        <v>412/2014</v>
      </c>
      <c r="B1841" s="1" t="s">
        <v>26</v>
      </c>
      <c r="C1841" s="1" t="s">
        <v>2812</v>
      </c>
      <c r="D1841" s="1" t="str">
        <f>"964-2012-EMV"</f>
        <v>964-2012-EMV</v>
      </c>
      <c r="E1841" s="2"/>
      <c r="F1841" s="1" t="str">
        <f>"304.700,00"</f>
        <v>304.700,00</v>
      </c>
      <c r="G1841" s="1" t="str">
        <f>CONCATENATE("08.08.2014.",CHAR(10),"5 mjeseci od dana potpisa Ugovora")</f>
        <v>08.08.2014.
5 mjeseci od dana potpisa Ugovora</v>
      </c>
      <c r="H1841" s="1" t="str">
        <f>CONCATENATE("1. Zajednica ponuditelja: ",CHAR(10),"    OBUĆA VIKO D.O.O., VARAŽDIN",CHAR(10),"    INKOP OBUĆA D.O.O., POZNANOVEC",CHAR(10),"    JELEN PROFESSIONAL D.O.O., ČAKOVEC")</f>
        <v>1. Zajednica ponuditelja: 
    OBUĆA VIKO D.O.O., VARAŽDIN
    INKOP OBUĆA D.O.O., POZNANOVEC
    JELEN PROFESSIONAL D.O.O., ČAKOVEC</v>
      </c>
      <c r="I1841" s="1" t="s">
        <v>207</v>
      </c>
      <c r="J1841" s="1" t="str">
        <f>SUBSTITUTE(SUBSTITUTE(SUBSTITUTE("380,875.00",".","-"),",","."),"-",",")</f>
        <v>380.875,00</v>
      </c>
      <c r="K1841" s="2"/>
    </row>
    <row r="1842" spans="1:11" ht="63" x14ac:dyDescent="0.25">
      <c r="A1842" s="1" t="str">
        <f>"413/2014"</f>
        <v>413/2014</v>
      </c>
      <c r="B1842" s="1" t="s">
        <v>14</v>
      </c>
      <c r="C1842" s="1" t="s">
        <v>776</v>
      </c>
      <c r="D1842" s="1" t="str">
        <f>CONCATENATE("1322-2014-EMV",CHAR(10),"2014/S-002-0016733 od 01.04.2014.")</f>
        <v>1322-2014-EMV
2014/S-002-0016733 od 01.04.2014.</v>
      </c>
      <c r="E1842" s="1" t="s">
        <v>15</v>
      </c>
      <c r="F1842" s="1" t="str">
        <f>"1.638.745,22"</f>
        <v>1.638.745,22</v>
      </c>
      <c r="G1842" s="1" t="str">
        <f>CONCATENATE("08.08.2014.",CHAR(10),"180 dana od dana uvođenja u posao")</f>
        <v>08.08.2014.
180 dana od dana uvođenja u posao</v>
      </c>
      <c r="H1842" s="1" t="str">
        <f>CONCATENATE("PUGAR D.O.O., VELIKA GORICA")</f>
        <v>PUGAR D.O.O., VELIKA GORICA</v>
      </c>
      <c r="I1842" s="2"/>
      <c r="J1842" s="1"/>
      <c r="K1842" s="2"/>
    </row>
    <row r="1843" spans="1:11" ht="63" x14ac:dyDescent="0.25">
      <c r="A1843" s="1" t="str">
        <f>"414/2014"</f>
        <v>414/2014</v>
      </c>
      <c r="B1843" s="1" t="s">
        <v>14</v>
      </c>
      <c r="C1843" s="1" t="s">
        <v>777</v>
      </c>
      <c r="D1843" s="1" t="str">
        <f>CONCATENATE("1367-2014-EMV",CHAR(10),"2014/S 002-0022410 od 05.05.2014.")</f>
        <v>1367-2014-EMV
2014/S 002-0022410 od 05.05.2014.</v>
      </c>
      <c r="E1843" s="1" t="s">
        <v>15</v>
      </c>
      <c r="F1843" s="1" t="str">
        <f>"599.900,00"</f>
        <v>599.900,00</v>
      </c>
      <c r="G1843" s="1" t="str">
        <f>CONCATENATE("12.08.2014.",CHAR(10),"100 dana")</f>
        <v>12.08.2014.
100 dana</v>
      </c>
      <c r="H1843" s="1" t="str">
        <f>CONCATENATE("1. Zajednica ponuditelja: ",CHAR(10),"    GEOKON - ZAGREB D.D., ZAGREB",CHAR(10),"    REPER PLUS D.O.O., ZAGREB",CHAR(10),"    INSTITUT IGH D.D., ZAGREB")</f>
        <v>1. Zajednica ponuditelja: 
    GEOKON - ZAGREB D.D., ZAGREB
    REPER PLUS D.O.O., ZAGREB
    INSTITUT IGH D.D., ZAGREB</v>
      </c>
      <c r="I1843" s="2"/>
      <c r="J1843" s="1"/>
      <c r="K1843" s="2"/>
    </row>
    <row r="1844" spans="1:11" ht="63" x14ac:dyDescent="0.25">
      <c r="A1844" s="1" t="str">
        <f>"415/2014"</f>
        <v>415/2014</v>
      </c>
      <c r="B1844" s="1" t="s">
        <v>14</v>
      </c>
      <c r="C1844" s="1" t="s">
        <v>2813</v>
      </c>
      <c r="D1844" s="1" t="str">
        <f>CONCATENATE("2904-2014-EMV",CHAR(10),"2014/S 015-0037556 od 01.08.2014.")</f>
        <v>2904-2014-EMV
2014/S 015-0037556 od 01.08.2014.</v>
      </c>
      <c r="E1844" s="1" t="s">
        <v>12</v>
      </c>
      <c r="F1844" s="1" t="str">
        <f>"465.493,78"</f>
        <v>465.493,78</v>
      </c>
      <c r="G1844" s="1" t="str">
        <f>CONCATENATE("12.08.2014.",CHAR(10),"Odmah nakon obostranog potpisa Ugovora, a najkasnije do 25.08.2014")</f>
        <v>12.08.2014.
Odmah nakon obostranog potpisa Ugovora, a najkasnije do 25.08.2014</v>
      </c>
      <c r="H1844" s="1" t="str">
        <f>CONCATENATE("ELEMENT D.O.O., ZAGREB")</f>
        <v>ELEMENT D.O.O., ZAGREB</v>
      </c>
      <c r="I1844" s="1" t="s">
        <v>414</v>
      </c>
      <c r="J1844" s="1" t="str">
        <f>SUBSTITUTE(SUBSTITUTE(SUBSTITUTE("488,768.47",".","-"),",","."),"-",",")</f>
        <v>488.768,47</v>
      </c>
      <c r="K1844" s="2"/>
    </row>
    <row r="1845" spans="1:11" ht="78.75" x14ac:dyDescent="0.25">
      <c r="A1845" s="1" t="str">
        <f>"416/2014"</f>
        <v>416/2014</v>
      </c>
      <c r="B1845" s="1" t="s">
        <v>136</v>
      </c>
      <c r="C1845" s="1" t="s">
        <v>778</v>
      </c>
      <c r="D1845" s="1" t="str">
        <f>CONCATENATE("2014-2204",CHAR(10),"2014/S 002-0023464 od 09.05.2014 te ispravak br. /S 014-0026706 od 29.05.2014.")</f>
        <v>2014-2204
2014/S 002-0023464 od 09.05.2014 te ispravak br. /S 014-0026706 od 29.05.2014.</v>
      </c>
      <c r="E1845" s="1" t="s">
        <v>366</v>
      </c>
      <c r="F1845" s="1" t="str">
        <f>"1.662.750,00"</f>
        <v>1.662.750,00</v>
      </c>
      <c r="G1845" s="1" t="str">
        <f t="shared" ref="G1845:G1851" si="10">CONCATENATE("11.08.2014.",CHAR(10),"2 godine")</f>
        <v>11.08.2014.
2 godine</v>
      </c>
      <c r="H1845" s="1" t="str">
        <f>CONCATENATE("HIDROIZOLACIJA KATRAN D.O.O., ZAGREB")</f>
        <v>HIDROIZOLACIJA KATRAN D.O.O., ZAGREB</v>
      </c>
      <c r="I1845" s="2"/>
      <c r="J1845" s="1"/>
      <c r="K1845" s="1" t="s">
        <v>607</v>
      </c>
    </row>
    <row r="1846" spans="1:11" ht="63" x14ac:dyDescent="0.25">
      <c r="A1846" s="1" t="str">
        <f>"417/2014"</f>
        <v>417/2014</v>
      </c>
      <c r="B1846" s="1" t="s">
        <v>136</v>
      </c>
      <c r="C1846" s="1" t="s">
        <v>2814</v>
      </c>
      <c r="D1846" s="1" t="str">
        <f t="shared" ref="D1846:D1851" si="11">CONCATENATE("2014-2013",CHAR(10),"2014/S 002-0027577 od 03.06.2014.")</f>
        <v>2014-2013
2014/S 002-0027577 od 03.06.2014.</v>
      </c>
      <c r="E1846" s="1" t="s">
        <v>366</v>
      </c>
      <c r="F1846" s="1" t="str">
        <f>"44.111,40"</f>
        <v>44.111,40</v>
      </c>
      <c r="G1846" s="1" t="str">
        <f t="shared" si="10"/>
        <v>11.08.2014.
2 godine</v>
      </c>
      <c r="H1846" s="1" t="str">
        <f t="shared" ref="H1846:H1851" si="12">CONCATENATE("MAN IMPORTER HRVATSKA D.O.O., HRVATSKI LESKOVAC")</f>
        <v>MAN IMPORTER HRVATSKA D.O.O., HRVATSKI LESKOVAC</v>
      </c>
      <c r="I1846" s="2"/>
      <c r="J1846" s="1"/>
      <c r="K1846" s="1" t="s">
        <v>607</v>
      </c>
    </row>
    <row r="1847" spans="1:11" ht="63" x14ac:dyDescent="0.25">
      <c r="A1847" s="1" t="str">
        <f>"418/2014"</f>
        <v>418/2014</v>
      </c>
      <c r="B1847" s="1" t="s">
        <v>136</v>
      </c>
      <c r="C1847" s="1" t="s">
        <v>2815</v>
      </c>
      <c r="D1847" s="1" t="str">
        <f t="shared" si="11"/>
        <v>2014-2013
2014/S 002-0027577 od 03.06.2014.</v>
      </c>
      <c r="E1847" s="1" t="s">
        <v>366</v>
      </c>
      <c r="F1847" s="1" t="str">
        <f>"96.886,70"</f>
        <v>96.886,70</v>
      </c>
      <c r="G1847" s="1" t="str">
        <f t="shared" si="10"/>
        <v>11.08.2014.
2 godine</v>
      </c>
      <c r="H1847" s="1" t="str">
        <f t="shared" si="12"/>
        <v>MAN IMPORTER HRVATSKA D.O.O., HRVATSKI LESKOVAC</v>
      </c>
      <c r="I1847" s="2"/>
      <c r="J1847" s="1"/>
      <c r="K1847" s="1" t="s">
        <v>607</v>
      </c>
    </row>
    <row r="1848" spans="1:11" ht="63" x14ac:dyDescent="0.25">
      <c r="A1848" s="1" t="str">
        <f>"419/2014"</f>
        <v>419/2014</v>
      </c>
      <c r="B1848" s="1" t="s">
        <v>136</v>
      </c>
      <c r="C1848" s="1" t="s">
        <v>2816</v>
      </c>
      <c r="D1848" s="1" t="str">
        <f t="shared" si="11"/>
        <v>2014-2013
2014/S 002-0027577 od 03.06.2014.</v>
      </c>
      <c r="E1848" s="1" t="s">
        <v>366</v>
      </c>
      <c r="F1848" s="1" t="str">
        <f>"12.978,00"</f>
        <v>12.978,00</v>
      </c>
      <c r="G1848" s="1" t="str">
        <f t="shared" si="10"/>
        <v>11.08.2014.
2 godine</v>
      </c>
      <c r="H1848" s="1" t="str">
        <f t="shared" si="12"/>
        <v>MAN IMPORTER HRVATSKA D.O.O., HRVATSKI LESKOVAC</v>
      </c>
      <c r="I1848" s="2"/>
      <c r="J1848" s="1"/>
      <c r="K1848" s="1" t="s">
        <v>607</v>
      </c>
    </row>
    <row r="1849" spans="1:11" ht="63" x14ac:dyDescent="0.25">
      <c r="A1849" s="1" t="str">
        <f>"420/2014"</f>
        <v>420/2014</v>
      </c>
      <c r="B1849" s="1" t="s">
        <v>136</v>
      </c>
      <c r="C1849" s="1" t="s">
        <v>2817</v>
      </c>
      <c r="D1849" s="1" t="str">
        <f t="shared" si="11"/>
        <v>2014-2013
2014/S 002-0027577 od 03.06.2014.</v>
      </c>
      <c r="E1849" s="1" t="s">
        <v>366</v>
      </c>
      <c r="F1849" s="1" t="str">
        <f>"152.396,20"</f>
        <v>152.396,20</v>
      </c>
      <c r="G1849" s="1" t="str">
        <f t="shared" si="10"/>
        <v>11.08.2014.
2 godine</v>
      </c>
      <c r="H1849" s="1" t="str">
        <f t="shared" si="12"/>
        <v>MAN IMPORTER HRVATSKA D.O.O., HRVATSKI LESKOVAC</v>
      </c>
      <c r="I1849" s="2"/>
      <c r="J1849" s="1"/>
      <c r="K1849" s="1" t="s">
        <v>607</v>
      </c>
    </row>
    <row r="1850" spans="1:11" ht="63" x14ac:dyDescent="0.25">
      <c r="A1850" s="1" t="str">
        <f>"421/2014"</f>
        <v>421/2014</v>
      </c>
      <c r="B1850" s="1" t="s">
        <v>136</v>
      </c>
      <c r="C1850" s="1" t="s">
        <v>2818</v>
      </c>
      <c r="D1850" s="1" t="str">
        <f t="shared" si="11"/>
        <v>2014-2013
2014/S 002-0027577 od 03.06.2014.</v>
      </c>
      <c r="E1850" s="1" t="s">
        <v>366</v>
      </c>
      <c r="F1850" s="1" t="str">
        <f>"112.616,00"</f>
        <v>112.616,00</v>
      </c>
      <c r="G1850" s="1" t="str">
        <f t="shared" si="10"/>
        <v>11.08.2014.
2 godine</v>
      </c>
      <c r="H1850" s="1" t="str">
        <f t="shared" si="12"/>
        <v>MAN IMPORTER HRVATSKA D.O.O., HRVATSKI LESKOVAC</v>
      </c>
      <c r="I1850" s="2"/>
      <c r="J1850" s="1"/>
      <c r="K1850" s="1" t="s">
        <v>607</v>
      </c>
    </row>
    <row r="1851" spans="1:11" ht="63" x14ac:dyDescent="0.25">
      <c r="A1851" s="1" t="str">
        <f>"422/2014"</f>
        <v>422/2014</v>
      </c>
      <c r="B1851" s="1" t="s">
        <v>136</v>
      </c>
      <c r="C1851" s="1" t="s">
        <v>2819</v>
      </c>
      <c r="D1851" s="1" t="str">
        <f t="shared" si="11"/>
        <v>2014-2013
2014/S 002-0027577 od 03.06.2014.</v>
      </c>
      <c r="E1851" s="1" t="s">
        <v>366</v>
      </c>
      <c r="F1851" s="1" t="str">
        <f>"13.041,00"</f>
        <v>13.041,00</v>
      </c>
      <c r="G1851" s="1" t="str">
        <f t="shared" si="10"/>
        <v>11.08.2014.
2 godine</v>
      </c>
      <c r="H1851" s="1" t="str">
        <f t="shared" si="12"/>
        <v>MAN IMPORTER HRVATSKA D.O.O., HRVATSKI LESKOVAC</v>
      </c>
      <c r="I1851" s="2"/>
      <c r="J1851" s="1"/>
      <c r="K1851" s="1" t="s">
        <v>607</v>
      </c>
    </row>
    <row r="1852" spans="1:11" ht="63" x14ac:dyDescent="0.25">
      <c r="A1852" s="1" t="str">
        <f>"A-94/2014"</f>
        <v>A-94/2014</v>
      </c>
      <c r="B1852" s="1" t="s">
        <v>11</v>
      </c>
      <c r="C1852" s="1" t="s">
        <v>779</v>
      </c>
      <c r="D1852" s="1" t="str">
        <f>"867-2012-EMV"</f>
        <v>867-2012-EMV</v>
      </c>
      <c r="E1852" s="2"/>
      <c r="F1852" s="1" t="str">
        <f>"582.897,81"</f>
        <v>582.897,81</v>
      </c>
      <c r="G1852" s="1" t="str">
        <f>"13.08.2014."</f>
        <v>13.08.2014.</v>
      </c>
      <c r="H1852" s="1" t="str">
        <f>CONCATENATE("HIDROCOMMERCE D.O.O., GORNJI STUPNIK")</f>
        <v>HIDROCOMMERCE D.O.O., GORNJI STUPNIK</v>
      </c>
      <c r="I1852" s="2"/>
      <c r="J1852" s="1"/>
      <c r="K1852" s="2"/>
    </row>
    <row r="1853" spans="1:11" ht="47.25" x14ac:dyDescent="0.25">
      <c r="A1853" s="1" t="str">
        <f>"423/2014"</f>
        <v>423/2014</v>
      </c>
      <c r="B1853" s="1" t="s">
        <v>14</v>
      </c>
      <c r="C1853" s="1" t="s">
        <v>780</v>
      </c>
      <c r="D1853" s="1" t="str">
        <f>CONCATENATE("Z-2014-7",CHAR(10),"2014/S 002-0019636 od 15.04.2014.")</f>
        <v>Z-2014-7
2014/S 002-0019636 od 15.04.2014.</v>
      </c>
      <c r="E1853" s="1" t="s">
        <v>15</v>
      </c>
      <c r="F1853" s="1" t="str">
        <f>"732.849,00"</f>
        <v>732.849,00</v>
      </c>
      <c r="G1853" s="1" t="str">
        <f>CONCATENATE("13.08.2014.",CHAR(10),"1 godina od obostranog potpisa Ugovora")</f>
        <v>13.08.2014.
1 godina od obostranog potpisa Ugovora</v>
      </c>
      <c r="H1853" s="1" t="str">
        <f>CONCATENATE("PAMAJO D.O.O., ZAGREB")</f>
        <v>PAMAJO D.O.O., ZAGREB</v>
      </c>
      <c r="I1853" s="2"/>
      <c r="J1853" s="1"/>
      <c r="K1853" s="1" t="s">
        <v>607</v>
      </c>
    </row>
    <row r="1854" spans="1:11" ht="63" x14ac:dyDescent="0.25">
      <c r="A1854" s="1" t="str">
        <f>"424/2014"</f>
        <v>424/2014</v>
      </c>
      <c r="B1854" s="1" t="s">
        <v>14</v>
      </c>
      <c r="C1854" s="1" t="s">
        <v>2820</v>
      </c>
      <c r="D1854" s="1" t="str">
        <f>"2907-2014-EMV"</f>
        <v>2907-2014-EMV</v>
      </c>
      <c r="E1854" s="1" t="s">
        <v>12</v>
      </c>
      <c r="F1854" s="1" t="str">
        <f>"806.031,77"</f>
        <v>806.031,77</v>
      </c>
      <c r="G1854" s="1" t="str">
        <f>CONCATENATE("13.08.2014.",CHAR(10),"Odmah nakon obostranog potpisa Ugovora, a najkasnije do 25.08.2014")</f>
        <v>13.08.2014.
Odmah nakon obostranog potpisa Ugovora, a najkasnije do 25.08.2014</v>
      </c>
      <c r="H1854" s="1" t="str">
        <f>CONCATENATE("KLETT VERLAG D.O.O., ZAGREB")</f>
        <v>KLETT VERLAG D.O.O., ZAGREB</v>
      </c>
      <c r="I1854" s="1" t="s">
        <v>414</v>
      </c>
      <c r="J1854" s="1" t="str">
        <f>SUBSTITUTE(SUBSTITUTE(SUBSTITUTE("846,333.36",".","-"),",","."),"-",",")</f>
        <v>846.333,36</v>
      </c>
      <c r="K1854" s="2"/>
    </row>
    <row r="1855" spans="1:11" ht="63" x14ac:dyDescent="0.25">
      <c r="A1855" s="1" t="str">
        <f>"426/2014"</f>
        <v>426/2014</v>
      </c>
      <c r="B1855" s="1" t="s">
        <v>14</v>
      </c>
      <c r="C1855" s="1" t="s">
        <v>2821</v>
      </c>
      <c r="D1855" s="1" t="str">
        <f>"2908-2014-EMV"</f>
        <v>2908-2014-EMV</v>
      </c>
      <c r="E1855" s="1" t="s">
        <v>12</v>
      </c>
      <c r="F1855" s="1" t="str">
        <f>"887.419,92"</f>
        <v>887.419,92</v>
      </c>
      <c r="G1855" s="1" t="str">
        <f>CONCATENATE("13.08.2014.",CHAR(10),"Odmah nakon obostranog potpisa Ugovora, a najkasnije do 25.08.2014")</f>
        <v>13.08.2014.
Odmah nakon obostranog potpisa Ugovora, a najkasnije do 25.08.2014</v>
      </c>
      <c r="H1855" s="1" t="str">
        <f>CONCATENATE("ALKA SCRIPT D.O.O., ZAGREB")</f>
        <v>ALKA SCRIPT D.O.O., ZAGREB</v>
      </c>
      <c r="I1855" s="1" t="s">
        <v>414</v>
      </c>
      <c r="J1855" s="1" t="str">
        <f>SUBSTITUTE(SUBSTITUTE(SUBSTITUTE("631,225.31",".","-"),",","."),"-",",")</f>
        <v>631.225,31</v>
      </c>
      <c r="K1855" s="2"/>
    </row>
    <row r="1856" spans="1:11" ht="63" x14ac:dyDescent="0.25">
      <c r="A1856" s="1" t="str">
        <f>"427/2014"</f>
        <v>427/2014</v>
      </c>
      <c r="B1856" s="1" t="s">
        <v>14</v>
      </c>
      <c r="C1856" s="1" t="s">
        <v>2822</v>
      </c>
      <c r="D1856" s="1" t="str">
        <f>"2905-2014-EMV"</f>
        <v>2905-2014-EMV</v>
      </c>
      <c r="E1856" s="1" t="s">
        <v>12</v>
      </c>
      <c r="F1856" s="1" t="str">
        <f>"520.045,16"</f>
        <v>520.045,16</v>
      </c>
      <c r="G1856" s="1" t="str">
        <f>CONCATENATE("13.08.2014.",CHAR(10),"Odmah nakon obostranog potpisa Ugovora, a najkasnije do 25.08.2014")</f>
        <v>13.08.2014.
Odmah nakon obostranog potpisa Ugovora, a najkasnije do 25.08.2014</v>
      </c>
      <c r="H1856" s="1" t="str">
        <f>CONCATENATE("SYSPRINT D.O.O., ZAGREB")</f>
        <v>SYSPRINT D.O.O., ZAGREB</v>
      </c>
      <c r="I1856" s="2"/>
      <c r="J1856" s="1"/>
      <c r="K1856" s="2"/>
    </row>
    <row r="1857" spans="1:11" ht="63" x14ac:dyDescent="0.25">
      <c r="A1857" s="1" t="str">
        <f>"428/2014"</f>
        <v>428/2014</v>
      </c>
      <c r="B1857" s="1" t="s">
        <v>14</v>
      </c>
      <c r="C1857" s="1" t="s">
        <v>781</v>
      </c>
      <c r="D1857" s="1" t="str">
        <f>"2906-2014-EMV"</f>
        <v>2906-2014-EMV</v>
      </c>
      <c r="E1857" s="1" t="s">
        <v>12</v>
      </c>
      <c r="F1857" s="1" t="str">
        <f>"697.743,40"</f>
        <v>697.743,40</v>
      </c>
      <c r="G1857" s="1" t="str">
        <f>CONCATENATE("13.08.2014.",CHAR(10),"Odmah nakon obostranog potpisa Ugovora, a najkasnije do 25.08.2014")</f>
        <v>13.08.2014.
Odmah nakon obostranog potpisa Ugovora, a najkasnije do 25.08.2014</v>
      </c>
      <c r="H1857" s="1" t="str">
        <f>CONCATENATE("GLAS KONCILA, ZAGREB")</f>
        <v>GLAS KONCILA, ZAGREB</v>
      </c>
      <c r="I1857" s="1" t="s">
        <v>414</v>
      </c>
      <c r="J1857" s="1" t="str">
        <f>SUBSTITUTE(SUBSTITUTE(SUBSTITUTE("732,630.57",".","-"),",","."),"-",",")</f>
        <v>732.630,57</v>
      </c>
      <c r="K1857" s="2"/>
    </row>
    <row r="1858" spans="1:11" ht="78.75" x14ac:dyDescent="0.25">
      <c r="A1858" s="1" t="str">
        <f>"430/2014"</f>
        <v>430/2014</v>
      </c>
      <c r="B1858" s="1" t="s">
        <v>14</v>
      </c>
      <c r="C1858" s="1" t="s">
        <v>782</v>
      </c>
      <c r="D1858" s="1" t="str">
        <f>CONCATENATE("2014-2278",CHAR(10),"2014/S 002-0029920 od 16.06.2014.")</f>
        <v>2014-2278
2014/S 002-0029920 od 16.06.2014.</v>
      </c>
      <c r="E1858" s="1" t="s">
        <v>15</v>
      </c>
      <c r="F1858" s="1" t="str">
        <f>"252.680,50"</f>
        <v>252.680,50</v>
      </c>
      <c r="G1858" s="1" t="str">
        <f>CONCATENATE("13.08.2014.",CHAR(10),"25 kalendarskih dana od uvođenja u posao - za radove prema terminskom planu i 15 dana ostali radovi")</f>
        <v>13.08.2014.
25 kalendarskih dana od uvođenja u posao - za radove prema terminskom planu i 15 dana ostali radovi</v>
      </c>
      <c r="H1858" s="1" t="str">
        <f>CONCATENATE("INSTAL-PROM D.O.O., ZAGREB")</f>
        <v>INSTAL-PROM D.O.O., ZAGREB</v>
      </c>
      <c r="I1858" s="1" t="s">
        <v>499</v>
      </c>
      <c r="J1858" s="1" t="str">
        <f>SUBSTITUTE(SUBSTITUTE(SUBSTITUTE("315,829.65",".","-"),",","."),"-",",")</f>
        <v>315.829,65</v>
      </c>
      <c r="K1858" s="1" t="s">
        <v>607</v>
      </c>
    </row>
    <row r="1859" spans="1:11" ht="47.25" x14ac:dyDescent="0.25">
      <c r="A1859" s="1" t="str">
        <f>"431/2014"</f>
        <v>431/2014</v>
      </c>
      <c r="B1859" s="1" t="s">
        <v>14</v>
      </c>
      <c r="C1859" s="1" t="s">
        <v>783</v>
      </c>
      <c r="D1859" s="1" t="str">
        <f>CONCATENATE("2603-2014-EMV",CHAR(10),"2014/S 002-0029667 od 13.06.2014.")</f>
        <v>2603-2014-EMV
2014/S 002-0029667 od 13.06.2014.</v>
      </c>
      <c r="E1859" s="1" t="s">
        <v>15</v>
      </c>
      <c r="F1859" s="1" t="str">
        <f>"1.828.170,75"</f>
        <v>1.828.170,75</v>
      </c>
      <c r="G1859" s="1" t="str">
        <f>CONCATENATE("13.08.2014.",CHAR(10),"75 dana od dana uvođenja u posao")</f>
        <v>13.08.2014.
75 dana od dana uvođenja u posao</v>
      </c>
      <c r="H1859" s="1" t="str">
        <f>CONCATENATE("HVAR D.O.O., SAMOBOR")</f>
        <v>HVAR D.O.O., SAMOBOR</v>
      </c>
      <c r="I1859" s="2"/>
      <c r="J1859" s="1"/>
      <c r="K1859" s="2"/>
    </row>
    <row r="1860" spans="1:11" ht="47.25" x14ac:dyDescent="0.25">
      <c r="A1860" s="1" t="str">
        <f>"432/2014"</f>
        <v>432/2014</v>
      </c>
      <c r="B1860" s="1" t="s">
        <v>136</v>
      </c>
      <c r="C1860" s="1" t="s">
        <v>784</v>
      </c>
      <c r="D1860" s="1" t="str">
        <f>CONCATENATE("2014-160",CHAR(10),"2014/S 002-0029504 od 12.06.2014.")</f>
        <v>2014-160
2014/S 002-0029504 od 12.06.2014.</v>
      </c>
      <c r="E1860" s="1" t="s">
        <v>366</v>
      </c>
      <c r="F1860" s="1" t="str">
        <f>"394.000,00"</f>
        <v>394.000,00</v>
      </c>
      <c r="G1860" s="1" t="str">
        <f>CONCATENATE("13.08.2014.",CHAR(10),"2 godine")</f>
        <v>13.08.2014.
2 godine</v>
      </c>
      <c r="H1860" s="1" t="str">
        <f>CONCATENATE("C.I.A.K. D.O.O., ZAGREB")</f>
        <v>C.I.A.K. D.O.O., ZAGREB</v>
      </c>
      <c r="I1860" s="2"/>
      <c r="J1860" s="1"/>
      <c r="K1860" s="1" t="s">
        <v>607</v>
      </c>
    </row>
    <row r="1861" spans="1:11" ht="63" x14ac:dyDescent="0.25">
      <c r="A1861" s="1" t="str">
        <f>"433/2014"</f>
        <v>433/2014</v>
      </c>
      <c r="B1861" s="1" t="s">
        <v>14</v>
      </c>
      <c r="C1861" s="1" t="s">
        <v>2823</v>
      </c>
      <c r="D1861" s="1" t="str">
        <f>"2912-2014-EVV"</f>
        <v>2912-2014-EVV</v>
      </c>
      <c r="E1861" s="1" t="s">
        <v>12</v>
      </c>
      <c r="F1861" s="1" t="str">
        <f>"7.001.461,07"</f>
        <v>7.001.461,07</v>
      </c>
      <c r="G1861" s="1" t="str">
        <f>CONCATENATE("18.08.2014.",CHAR(10),"Odmah nakon obostranog potpisa Ugovora, a najkasnije do 25.08.2014")</f>
        <v>18.08.2014.
Odmah nakon obostranog potpisa Ugovora, a najkasnije do 25.08.2014</v>
      </c>
      <c r="H1861" s="1" t="str">
        <f>CONCATENATE("ALFA D.D. ZA IZDAVAČKE, GRAFIČKE I TRGOVAČKE POSLOVE, ZAGREB")</f>
        <v>ALFA D.D. ZA IZDAVAČKE, GRAFIČKE I TRGOVAČKE POSLOVE, ZAGREB</v>
      </c>
      <c r="I1861" s="1" t="s">
        <v>414</v>
      </c>
      <c r="J1861" s="1" t="str">
        <f>SUBSTITUTE(SUBSTITUTE(SUBSTITUTE("7,351,227.76",".","-"),",","."),"-",",")</f>
        <v>7.351.227,76</v>
      </c>
      <c r="K1861" s="2"/>
    </row>
    <row r="1862" spans="1:11" ht="63" x14ac:dyDescent="0.25">
      <c r="A1862" s="1" t="str">
        <f>"434/2014"</f>
        <v>434/2014</v>
      </c>
      <c r="B1862" s="1" t="s">
        <v>14</v>
      </c>
      <c r="C1862" s="1" t="s">
        <v>2824</v>
      </c>
      <c r="D1862" s="1" t="str">
        <f>"2911-2014-EVV"</f>
        <v>2911-2014-EVV</v>
      </c>
      <c r="E1862" s="1" t="s">
        <v>12</v>
      </c>
      <c r="F1862" s="1" t="str">
        <f>"2.118.940,61"</f>
        <v>2.118.940,61</v>
      </c>
      <c r="G1862" s="1" t="str">
        <f>CONCATENATE("18.08.2014.",CHAR(10),"Odmah nakon obostranog potpisa Ugovora, a najkasnije do 25.08.2014")</f>
        <v>18.08.2014.
Odmah nakon obostranog potpisa Ugovora, a najkasnije do 25.08.2014</v>
      </c>
      <c r="H1862" s="1" t="str">
        <f>CONCATENATE("KRŠĆANSKA SADAŠNJOST D.O.O., ZAGREB")</f>
        <v>KRŠĆANSKA SADAŠNJOST D.O.O., ZAGREB</v>
      </c>
      <c r="I1862" s="1" t="s">
        <v>414</v>
      </c>
      <c r="J1862" s="1" t="str">
        <f>SUBSTITUTE(SUBSTITUTE(SUBSTITUTE("2,224,804.85",".","-"),",","."),"-",",")</f>
        <v>2.224.804,85</v>
      </c>
      <c r="K1862" s="2"/>
    </row>
    <row r="1863" spans="1:11" ht="47.25" x14ac:dyDescent="0.25">
      <c r="A1863" s="1" t="str">
        <f>"435/2014"</f>
        <v>435/2014</v>
      </c>
      <c r="B1863" s="1" t="s">
        <v>26</v>
      </c>
      <c r="C1863" s="1" t="s">
        <v>785</v>
      </c>
      <c r="D1863" s="1" t="str">
        <f>"Z-2014-1"</f>
        <v>Z-2014-1</v>
      </c>
      <c r="E1863" s="2"/>
      <c r="F1863" s="1" t="str">
        <f>"1.648.900,44"</f>
        <v>1.648.900,44</v>
      </c>
      <c r="G1863" s="1" t="str">
        <f>CONCATENATE("14.08.2014.",CHAR(10),"1 godina")</f>
        <v>14.08.2014.
1 godina</v>
      </c>
      <c r="H1863" s="1" t="str">
        <f>CONCATENATE("BIRODOM D.O.O., LUČKO",CHAR(10),"STUBLIĆ IMPEX D.O.O., SESVETE")</f>
        <v>BIRODOM D.O.O., LUČKO
STUBLIĆ IMPEX D.O.O., SESVETE</v>
      </c>
      <c r="I1863" s="1" t="s">
        <v>786</v>
      </c>
      <c r="J1863" s="1" t="str">
        <f>SUBSTITUTE(SUBSTITUTE(SUBSTITUTE("2,060,506.71",".","-"),",","."),"-",",")</f>
        <v>2.060.506,71</v>
      </c>
      <c r="K1863" s="1" t="s">
        <v>607</v>
      </c>
    </row>
    <row r="1864" spans="1:11" ht="47.25" x14ac:dyDescent="0.25">
      <c r="A1864" s="1" t="str">
        <f>"436/2014"</f>
        <v>436/2014</v>
      </c>
      <c r="B1864" s="1" t="s">
        <v>14</v>
      </c>
      <c r="C1864" s="1" t="s">
        <v>787</v>
      </c>
      <c r="D1864" s="1" t="str">
        <f>CONCATENATE("2014-2062",CHAR(10),"2014/S 002-0024668 od 19.05.2014.")</f>
        <v>2014-2062
2014/S 002-0024668 od 19.05.2014.</v>
      </c>
      <c r="E1864" s="1" t="s">
        <v>15</v>
      </c>
      <c r="F1864" s="1" t="str">
        <f>"1.062.719,49"</f>
        <v>1.062.719,49</v>
      </c>
      <c r="G1864" s="1" t="str">
        <f>CONCATENATE("14.08.2014.",CHAR(10),"200 dana od dana uvođenja u posao")</f>
        <v>14.08.2014.
200 dana od dana uvođenja u posao</v>
      </c>
      <c r="H1864" s="1" t="str">
        <f>CONCATENATE("1. Zajednica ponuditelja: ",CHAR(10),"    VODOGRADNJA D.D., VARAŽDIN",CHAR(10),"    AQUATEHNIKA D.O.O., VARAŽDIN")</f>
        <v>1. Zajednica ponuditelja: 
    VODOGRADNJA D.D., VARAŽDIN
    AQUATEHNIKA D.O.O., VARAŽDIN</v>
      </c>
      <c r="I1864" s="2"/>
      <c r="J1864" s="1"/>
      <c r="K1864" s="1" t="s">
        <v>607</v>
      </c>
    </row>
    <row r="1865" spans="1:11" ht="47.25" x14ac:dyDescent="0.25">
      <c r="A1865" s="1" t="str">
        <f>"437/2014"</f>
        <v>437/2014</v>
      </c>
      <c r="B1865" s="1" t="s">
        <v>14</v>
      </c>
      <c r="C1865" s="1" t="s">
        <v>788</v>
      </c>
      <c r="D1865" s="1" t="str">
        <f>CONCATENATE("905-2014-EMV",CHAR(10),"2014/S 002-0025036 od 20.05.2014.")</f>
        <v>905-2014-EMV
2014/S 002-0025036 od 20.05.2014.</v>
      </c>
      <c r="E1865" s="1" t="s">
        <v>15</v>
      </c>
      <c r="F1865" s="1" t="str">
        <f>"751.894,00"</f>
        <v>751.894,00</v>
      </c>
      <c r="G1865" s="1" t="str">
        <f>CONCATENATE("14.08.2014.",CHAR(10),"60 dana od dana uvođenja u posao")</f>
        <v>14.08.2014.
60 dana od dana uvođenja u posao</v>
      </c>
      <c r="H1865" s="1" t="str">
        <f>CONCATENATE("PUGAR D.O.O., VELIKA GORICA")</f>
        <v>PUGAR D.O.O., VELIKA GORICA</v>
      </c>
      <c r="I1865" s="2"/>
      <c r="J1865" s="1"/>
      <c r="K1865" s="2"/>
    </row>
    <row r="1866" spans="1:11" ht="47.25" x14ac:dyDescent="0.25">
      <c r="A1866" s="1" t="str">
        <f>"438/2014"</f>
        <v>438/2014</v>
      </c>
      <c r="B1866" s="1" t="s">
        <v>14</v>
      </c>
      <c r="C1866" s="1" t="s">
        <v>2825</v>
      </c>
      <c r="D1866" s="1" t="str">
        <f>CONCATENATE("501-2013-EMV",CHAR(10),"2013/S 002-0102873 od 20.12.2013.")</f>
        <v>501-2013-EMV
2013/S 002-0102873 od 20.12.2013.</v>
      </c>
      <c r="E1866" s="1" t="s">
        <v>15</v>
      </c>
      <c r="F1866" s="1" t="str">
        <f>"378.585,80"</f>
        <v>378.585,80</v>
      </c>
      <c r="G1866" s="1" t="str">
        <f>CONCATENATE("14.08.2014.",CHAR(10),"90 dana od dana uvođenja u posao")</f>
        <v>14.08.2014.
90 dana od dana uvođenja u posao</v>
      </c>
      <c r="H1866" s="1" t="str">
        <f>CONCATENATE("HEDOM D.O.O., ZAGREB")</f>
        <v>HEDOM D.O.O., ZAGREB</v>
      </c>
      <c r="I1866" s="2"/>
      <c r="J1866" s="1"/>
      <c r="K1866" s="2"/>
    </row>
    <row r="1867" spans="1:11" ht="47.25" x14ac:dyDescent="0.25">
      <c r="A1867" s="1" t="str">
        <f>"A-95/2014"</f>
        <v>A-95/2014</v>
      </c>
      <c r="B1867" s="1" t="s">
        <v>11</v>
      </c>
      <c r="C1867" s="1" t="s">
        <v>789</v>
      </c>
      <c r="D1867" s="1" t="str">
        <f>"2850-2012-EMV"</f>
        <v>2850-2012-EMV</v>
      </c>
      <c r="E1867" s="2"/>
      <c r="F1867" s="1" t="str">
        <f>"0,00"</f>
        <v>0,00</v>
      </c>
      <c r="G1867" s="1" t="str">
        <f>CONCATENATE("14.08.2014.",CHAR(10),"30.9.2014")</f>
        <v>14.08.2014.
30.9.2014</v>
      </c>
      <c r="H1867" s="1" t="str">
        <f>CONCATENATE("1. Zajednica ponuditelja: ",CHAR(10),"    MAŠINOPROJEKT D.O.O., ZAGREB",CHAR(10),"    INKOS D.O.O., SVETA NEDJELJA")</f>
        <v>1. Zajednica ponuditelja: 
    MAŠINOPROJEKT D.O.O., ZAGREB
    INKOS D.O.O., SVETA NEDJELJA</v>
      </c>
      <c r="I1867" s="2"/>
      <c r="J1867" s="1"/>
      <c r="K1867" s="2"/>
    </row>
    <row r="1868" spans="1:11" ht="63" x14ac:dyDescent="0.25">
      <c r="A1868" s="1" t="str">
        <f>"441/2014"</f>
        <v>441/2014</v>
      </c>
      <c r="B1868" s="1" t="s">
        <v>14</v>
      </c>
      <c r="C1868" s="1" t="s">
        <v>2826</v>
      </c>
      <c r="D1868" s="1" t="str">
        <f>CONCATENATE("2900-2014-EMV",CHAR(10),"2014/S 015-0037546 od 01.08.2014.")</f>
        <v>2900-2014-EMV
2014/S 015-0037546 od 01.08.2014.</v>
      </c>
      <c r="E1868" s="1" t="s">
        <v>12</v>
      </c>
      <c r="F1868" s="1" t="str">
        <f>"175.184,75"</f>
        <v>175.184,75</v>
      </c>
      <c r="G1868" s="1" t="str">
        <f>CONCATENATE("18.08.2014.",CHAR(10),"Odmah nakon obostranog potpisa Ugovora, a najkasnije do 25.08.2014")</f>
        <v>18.08.2014.
Odmah nakon obostranog potpisa Ugovora, a najkasnije do 25.08.2014</v>
      </c>
      <c r="H1868" s="1" t="str">
        <f>CONCATENATE("NEODIDACTA D.O.O., ZAGREB")</f>
        <v>NEODIDACTA D.O.O., ZAGREB</v>
      </c>
      <c r="I1868" s="1" t="s">
        <v>414</v>
      </c>
      <c r="J1868" s="1" t="str">
        <f>SUBSTITUTE(SUBSTITUTE(SUBSTITUTE("183,943.99",".","-"),",","."),"-",",")</f>
        <v>183.943,99</v>
      </c>
      <c r="K1868" s="2"/>
    </row>
    <row r="1869" spans="1:11" ht="78.75" x14ac:dyDescent="0.25">
      <c r="A1869" s="1" t="str">
        <f>"442/2014"</f>
        <v>442/2014</v>
      </c>
      <c r="B1869" s="1" t="s">
        <v>14</v>
      </c>
      <c r="C1869" s="1" t="s">
        <v>790</v>
      </c>
      <c r="D1869" s="1" t="str">
        <f>CONCATENATE("2014-69",CHAR(10),"2014/S 002-0019137 od 11.4.2014 i ispravak objave od 2014/S 014-00252206 od 21.05.2014.")</f>
        <v>2014-69
2014/S 002-0019137 od 11.4.2014 i ispravak objave od 2014/S 014-00252206 od 21.05.2014.</v>
      </c>
      <c r="E1869" s="1" t="s">
        <v>15</v>
      </c>
      <c r="F1869" s="1" t="str">
        <f>"2.749.689,00"</f>
        <v>2.749.689,00</v>
      </c>
      <c r="G1869" s="1" t="str">
        <f>CONCATENATE("18.08.2014.",CHAR(10),"45 dana")</f>
        <v>18.08.2014.
45 dana</v>
      </c>
      <c r="H1869" s="1" t="str">
        <f>CONCATENATE("SLIV OPREMA D.O.O., ZAGREB")</f>
        <v>SLIV OPREMA D.O.O., ZAGREB</v>
      </c>
      <c r="I1869" s="2"/>
      <c r="J1869" s="1"/>
      <c r="K1869" s="1" t="s">
        <v>607</v>
      </c>
    </row>
    <row r="1870" spans="1:11" ht="78.75" x14ac:dyDescent="0.25">
      <c r="A1870" s="1" t="str">
        <f>"443/2014"</f>
        <v>443/2014</v>
      </c>
      <c r="B1870" s="1" t="s">
        <v>14</v>
      </c>
      <c r="C1870" s="1" t="s">
        <v>791</v>
      </c>
      <c r="D1870" s="1" t="str">
        <f>CONCATENATE("2014-69",CHAR(10),"2014/S 002-0019137 od 11.4.2014 i ispravak objave od 2014/S 014-00252206 od 21.05.2014.")</f>
        <v>2014-69
2014/S 002-0019137 od 11.4.2014 i ispravak objave od 2014/S 014-00252206 od 21.05.2014.</v>
      </c>
      <c r="E1870" s="1" t="s">
        <v>15</v>
      </c>
      <c r="F1870" s="1" t="str">
        <f>"2.785.700,75"</f>
        <v>2.785.700,75</v>
      </c>
      <c r="G1870" s="1" t="str">
        <f>CONCATENATE("18.08.2014.",CHAR(10),"45 dana")</f>
        <v>18.08.2014.
45 dana</v>
      </c>
      <c r="H1870" s="1" t="str">
        <f>CONCATENATE("SLIV OPREMA D.O.O., ZAGREB")</f>
        <v>SLIV OPREMA D.O.O., ZAGREB</v>
      </c>
      <c r="I1870" s="2"/>
      <c r="J1870" s="1"/>
      <c r="K1870" s="1" t="s">
        <v>607</v>
      </c>
    </row>
    <row r="1871" spans="1:11" ht="63" x14ac:dyDescent="0.25">
      <c r="A1871" s="1" t="str">
        <f>"444/2014"</f>
        <v>444/2014</v>
      </c>
      <c r="B1871" s="1" t="s">
        <v>14</v>
      </c>
      <c r="C1871" s="1" t="s">
        <v>792</v>
      </c>
      <c r="D1871" s="1" t="str">
        <f>CONCATENATE("2901-2014-EMV",CHAR(10),"2014/S 015-0037435 od 01.08.2014.")</f>
        <v>2901-2014-EMV
2014/S 015-0037435 od 01.08.2014.</v>
      </c>
      <c r="E1871" s="1" t="s">
        <v>12</v>
      </c>
      <c r="F1871" s="1" t="str">
        <f>"233.629,03"</f>
        <v>233.629,03</v>
      </c>
      <c r="G1871" s="1" t="str">
        <f>CONCATENATE("18.08.2014.",CHAR(10),"Odmah nakon obostranog potpisa ugovora, a najkasnije do 25.08.2014")</f>
        <v>18.08.2014.
Odmah nakon obostranog potpisa ugovora, a najkasnije do 25.08.2014</v>
      </c>
      <c r="H1871" s="1" t="str">
        <f>CONCATENATE("MERIDIJANI OBRT ZA IZDAVAČKU DJELTANOST, TRGOVINU I USLUGE, VLASNIK PETRA SOMEK, SAMOBOR")</f>
        <v>MERIDIJANI OBRT ZA IZDAVAČKU DJELTANOST, TRGOVINU I USLUGE, VLASNIK PETRA SOMEK, SAMOBOR</v>
      </c>
      <c r="I1871" s="1" t="s">
        <v>414</v>
      </c>
      <c r="J1871" s="1" t="str">
        <f>SUBSTITUTE(SUBSTITUTE(SUBSTITUTE("245,310.45",".","-"),",","."),"-",",")</f>
        <v>245.310,45</v>
      </c>
      <c r="K1871" s="2"/>
    </row>
    <row r="1872" spans="1:11" ht="47.25" x14ac:dyDescent="0.25">
      <c r="A1872" s="1" t="str">
        <f>"445/2014"</f>
        <v>445/2014</v>
      </c>
      <c r="B1872" s="1" t="s">
        <v>14</v>
      </c>
      <c r="C1872" s="1" t="s">
        <v>793</v>
      </c>
      <c r="D1872" s="1" t="str">
        <f>CONCATENATE("2524-2014-EMV",CHAR(10),"2014/S 002-0023604 od 12.05.2014.")</f>
        <v>2524-2014-EMV
2014/S 002-0023604 od 12.05.2014.</v>
      </c>
      <c r="E1872" s="1" t="s">
        <v>15</v>
      </c>
      <c r="F1872" s="1" t="str">
        <f>"346.542,00"</f>
        <v>346.542,00</v>
      </c>
      <c r="G1872" s="1" t="str">
        <f>CONCATENATE("20.08.2014.",CHAR(10),"45 dana, računajući od dana uvođenja u posao")</f>
        <v>20.08.2014.
45 dana, računajući od dana uvođenja u posao</v>
      </c>
      <c r="H1872" s="1" t="str">
        <f>CONCATENATE("ŠUŠKOVIĆ-GRAĐENJE D.O.O., ZAGREB")</f>
        <v>ŠUŠKOVIĆ-GRAĐENJE D.O.O., ZAGREB</v>
      </c>
      <c r="I1872" s="2"/>
      <c r="J1872" s="1"/>
      <c r="K1872" s="2"/>
    </row>
    <row r="1873" spans="1:11" ht="47.25" x14ac:dyDescent="0.25">
      <c r="A1873" s="1" t="str">
        <f>"447/2014"</f>
        <v>447/2014</v>
      </c>
      <c r="B1873" s="1" t="s">
        <v>14</v>
      </c>
      <c r="C1873" s="1" t="s">
        <v>794</v>
      </c>
      <c r="D1873" s="1" t="str">
        <f>CONCATENATE("2014-2114",CHAR(10),"2014/S 002-0024733 od 19.05.2014.")</f>
        <v>2014-2114
2014/S 002-0024733 od 19.05.2014.</v>
      </c>
      <c r="E1873" s="1" t="s">
        <v>15</v>
      </c>
      <c r="F1873" s="1" t="str">
        <f>"12.748.933,90"</f>
        <v>12.748.933,90</v>
      </c>
      <c r="G1873" s="1" t="str">
        <f>CONCATENATE("21.08.2014.",CHAR(10),"18 mjeseci od dana uvođenja u posao")</f>
        <v>21.08.2014.
18 mjeseci od dana uvođenja u posao</v>
      </c>
      <c r="H1873" s="1" t="str">
        <f>CONCATENATE("GIP PIONIR D.O.O., ZAGREB")</f>
        <v>GIP PIONIR D.O.O., ZAGREB</v>
      </c>
      <c r="I1873" s="2"/>
      <c r="J1873" s="1"/>
      <c r="K1873" s="1" t="s">
        <v>607</v>
      </c>
    </row>
    <row r="1874" spans="1:11" ht="94.5" x14ac:dyDescent="0.25">
      <c r="A1874" s="1" t="str">
        <f>"448/2014"</f>
        <v>448/2014</v>
      </c>
      <c r="B1874" s="1" t="s">
        <v>14</v>
      </c>
      <c r="C1874" s="1" t="s">
        <v>2827</v>
      </c>
      <c r="D1874" s="1" t="str">
        <f>CONCATENATE("1582-2013-EVV",CHAR(10),"2013/S 002-0102637 od 20.12.2014. 2014/S 014-0004737 od 31.1.2014 2014/S 014-0020888 od 23.04.2014.")</f>
        <v>1582-2013-EVV
2013/S 002-0102637 od 20.12.2014. 2014/S 014-0004737 od 31.1.2014 2014/S 014-0020888 od 23.04.2014.</v>
      </c>
      <c r="E1874" s="1" t="s">
        <v>15</v>
      </c>
      <c r="F1874" s="1" t="str">
        <f>"1.638.097,55"</f>
        <v>1.638.097,55</v>
      </c>
      <c r="G1874" s="1" t="str">
        <f>CONCATENATE("18.08.2014.",CHAR(10),"12 mjeseci")</f>
        <v>18.08.2014.
12 mjeseci</v>
      </c>
      <c r="H1874" s="1" t="str">
        <f>CONCATENATE("BAUERFEIND D.O.O., ZAGREB")</f>
        <v>BAUERFEIND D.O.O., ZAGREB</v>
      </c>
      <c r="I1874" s="2"/>
      <c r="J1874" s="1"/>
      <c r="K1874" s="2"/>
    </row>
    <row r="1875" spans="1:11" ht="47.25" x14ac:dyDescent="0.25">
      <c r="A1875" s="1" t="str">
        <f>"449/2014"</f>
        <v>449/2014</v>
      </c>
      <c r="B1875" s="1" t="s">
        <v>14</v>
      </c>
      <c r="C1875" s="1" t="s">
        <v>795</v>
      </c>
      <c r="D1875" s="1" t="str">
        <f>CONCATENATE("2304-2014-EMV",CHAR(10),"2014/S 002-0027801 od 04.06.2014.")</f>
        <v>2304-2014-EMV
2014/S 002-0027801 od 04.06.2014.</v>
      </c>
      <c r="E1875" s="1" t="s">
        <v>15</v>
      </c>
      <c r="F1875" s="1" t="str">
        <f>"762.532,00"</f>
        <v>762.532,00</v>
      </c>
      <c r="G1875" s="1" t="str">
        <f>CONCATENATE("21.08.2014.",CHAR(10),"2 mjeseca od dana uvođenja u posao")</f>
        <v>21.08.2014.
2 mjeseca od dana uvođenja u posao</v>
      </c>
      <c r="H1875" s="1" t="str">
        <f>CONCATENATE("FOTON PROMET D.O.O., SESVETE")</f>
        <v>FOTON PROMET D.O.O., SESVETE</v>
      </c>
      <c r="I1875" s="2"/>
      <c r="J1875" s="1"/>
      <c r="K1875" s="2"/>
    </row>
    <row r="1876" spans="1:11" ht="78.75" x14ac:dyDescent="0.25">
      <c r="A1876" s="1" t="str">
        <f>"450/2014"</f>
        <v>450/2014</v>
      </c>
      <c r="B1876" s="1" t="s">
        <v>14</v>
      </c>
      <c r="C1876" s="1" t="s">
        <v>796</v>
      </c>
      <c r="D1876" s="1" t="str">
        <f>CONCATENATE("2014-69",CHAR(10),"2014/S 002-0019137 od 11.4.2014 i ispravak objave od 2014/S 014-00252206 od 21.05.2014.")</f>
        <v>2014-69
2014/S 002-0019137 od 11.4.2014 i ispravak objave od 2014/S 014-00252206 od 21.05.2014.</v>
      </c>
      <c r="E1876" s="1" t="s">
        <v>15</v>
      </c>
      <c r="F1876" s="1" t="str">
        <f>"573.793,00"</f>
        <v>573.793,00</v>
      </c>
      <c r="G1876" s="1" t="str">
        <f>CONCATENATE("18.08.2014.",CHAR(10),"45 dana")</f>
        <v>18.08.2014.
45 dana</v>
      </c>
      <c r="H1876" s="1" t="str">
        <f>CONCATENATE("PRIMAT -  RD D.O.O., HRVATSKI LESKOVAC")</f>
        <v>PRIMAT -  RD D.O.O., HRVATSKI LESKOVAC</v>
      </c>
      <c r="I1876" s="2"/>
      <c r="J1876" s="1"/>
      <c r="K1876" s="1" t="s">
        <v>607</v>
      </c>
    </row>
    <row r="1877" spans="1:11" ht="63" x14ac:dyDescent="0.25">
      <c r="A1877" s="1" t="str">
        <f>"A-96/2014"</f>
        <v>A-96/2014</v>
      </c>
      <c r="B1877" s="1" t="s">
        <v>11</v>
      </c>
      <c r="C1877" s="1" t="s">
        <v>797</v>
      </c>
      <c r="D1877" s="1" t="str">
        <f>"317-2013-EMV"</f>
        <v>317-2013-EMV</v>
      </c>
      <c r="E1877" s="2"/>
      <c r="F1877" s="1" t="str">
        <f>"0,00"</f>
        <v>0,00</v>
      </c>
      <c r="G1877" s="1" t="str">
        <f>CONCATENATE("20.08.2014.",CHAR(10),"sukladno članku 3. do 10.10.2014")</f>
        <v>20.08.2014.
sukladno članku 3. do 10.10.2014</v>
      </c>
      <c r="H1877" s="1" t="str">
        <f>CONCATENATE("MREŽA ZNANJA D.O.O., ZAGREB")</f>
        <v>MREŽA ZNANJA D.O.O., ZAGREB</v>
      </c>
      <c r="I1877" s="2"/>
      <c r="J1877" s="1"/>
      <c r="K1877" s="2"/>
    </row>
    <row r="1878" spans="1:11" ht="63" x14ac:dyDescent="0.25">
      <c r="A1878" s="1" t="str">
        <f>"451/2014"</f>
        <v>451/2014</v>
      </c>
      <c r="B1878" s="1" t="s">
        <v>14</v>
      </c>
      <c r="C1878" s="1" t="s">
        <v>2828</v>
      </c>
      <c r="D1878" s="1" t="str">
        <f>CONCATENATE("2914-2014-EVV",CHAR(10),"2014/S 015-0037397 od 01.08.2014.")</f>
        <v>2914-2014-EVV
2014/S 015-0037397 od 01.08.2014.</v>
      </c>
      <c r="E1878" s="1" t="s">
        <v>12</v>
      </c>
      <c r="F1878" s="1" t="str">
        <f>"21.451.588,86"</f>
        <v>21.451.588,86</v>
      </c>
      <c r="G1878" s="1" t="str">
        <f>CONCATENATE("21.08.2014.",CHAR(10),"Odmah nakon obostranog potpisa Ugovora, a najkasnije do 25.08.2014")</f>
        <v>21.08.2014.
Odmah nakon obostranog potpisa Ugovora, a najkasnije do 25.08.2014</v>
      </c>
      <c r="H1878" s="1" t="str">
        <f>CONCATENATE("ŠKOLSKA KNJIGA D.D., ZAGREB")</f>
        <v>ŠKOLSKA KNJIGA D.D., ZAGREB</v>
      </c>
      <c r="I1878" s="1" t="s">
        <v>414</v>
      </c>
      <c r="J1878" s="1" t="str">
        <f>SUBSTITUTE(SUBSTITUTE(SUBSTITUTE("22,524,168.30",".","-"),",","."),"-",",")</f>
        <v>22.524.168,30</v>
      </c>
      <c r="K1878" s="2"/>
    </row>
    <row r="1879" spans="1:11" ht="47.25" x14ac:dyDescent="0.25">
      <c r="A1879" s="1" t="str">
        <f>"452/2014"</f>
        <v>452/2014</v>
      </c>
      <c r="B1879" s="1" t="s">
        <v>14</v>
      </c>
      <c r="C1879" s="1" t="s">
        <v>798</v>
      </c>
      <c r="D1879" s="1" t="str">
        <f>CONCATENATE("2014-89",CHAR(10),"2014/S 002-0021220 od 25.04.2014.")</f>
        <v>2014-89
2014/S 002-0021220 od 25.04.2014.</v>
      </c>
      <c r="E1879" s="1" t="s">
        <v>15</v>
      </c>
      <c r="F1879" s="1" t="str">
        <f>"3.471.000,00"</f>
        <v>3.471.000,00</v>
      </c>
      <c r="G1879" s="1" t="str">
        <f>CONCATENATE("21.08.2014.",CHAR(10),"60 dana")</f>
        <v>21.08.2014.
60 dana</v>
      </c>
      <c r="H1879" s="1" t="str">
        <f>CONCATENATE("KING ICT D.O.O., ZAGREB")</f>
        <v>KING ICT D.O.O., ZAGREB</v>
      </c>
      <c r="I1879" s="2"/>
      <c r="J1879" s="1"/>
      <c r="K1879" s="1" t="s">
        <v>607</v>
      </c>
    </row>
    <row r="1880" spans="1:11" ht="47.25" x14ac:dyDescent="0.25">
      <c r="A1880" s="1" t="str">
        <f>"453/2014"</f>
        <v>453/2014</v>
      </c>
      <c r="B1880" s="1" t="s">
        <v>14</v>
      </c>
      <c r="C1880" s="1" t="s">
        <v>799</v>
      </c>
      <c r="D1880" s="1" t="str">
        <f>CONCATENATE("481-2014-EMV",CHAR(10),"2014/S 002-0022819 od 07.05.2014.")</f>
        <v>481-2014-EMV
2014/S 002-0022819 od 07.05.2014.</v>
      </c>
      <c r="E1880" s="1" t="s">
        <v>15</v>
      </c>
      <c r="F1880" s="1" t="str">
        <f>"492.302,00"</f>
        <v>492.302,00</v>
      </c>
      <c r="G1880" s="1" t="str">
        <f>CONCATENATE("22.08.2014.",CHAR(10),"45 dana")</f>
        <v>22.08.2014.
45 dana</v>
      </c>
      <c r="H1880" s="1" t="str">
        <f>CONCATENATE("PROKLIMA-TIM D.O.O., ZAGREB")</f>
        <v>PROKLIMA-TIM D.O.O., ZAGREB</v>
      </c>
      <c r="I1880" s="1" t="s">
        <v>128</v>
      </c>
      <c r="J1880" s="1" t="str">
        <f>SUBSTITUTE(SUBSTITUTE(SUBSTITUTE("615,377.50",".","-"),",","."),"-",",")</f>
        <v>615.377,50</v>
      </c>
      <c r="K1880" s="2"/>
    </row>
    <row r="1881" spans="1:11" ht="47.25" x14ac:dyDescent="0.25">
      <c r="A1881" s="1" t="str">
        <f>"454/2014"</f>
        <v>454/2014</v>
      </c>
      <c r="B1881" s="1" t="s">
        <v>14</v>
      </c>
      <c r="C1881" s="1" t="s">
        <v>800</v>
      </c>
      <c r="D1881" s="1" t="str">
        <f>CONCATENATE("2303-2014-EMV",CHAR(10),"2014/S 002-0028336 od 06.06.2014.")</f>
        <v>2303-2014-EMV
2014/S 002-0028336 od 06.06.2014.</v>
      </c>
      <c r="E1881" s="1" t="s">
        <v>15</v>
      </c>
      <c r="F1881" s="1" t="str">
        <f>"648.354,68"</f>
        <v>648.354,68</v>
      </c>
      <c r="G1881" s="1" t="str">
        <f>CONCATENATE("21.08.2014.",CHAR(10),"2 mjeseca od dana uvođenja u posao")</f>
        <v>21.08.2014.
2 mjeseca od dana uvođenja u posao</v>
      </c>
      <c r="H1881" s="1" t="str">
        <f>CONCATENATE("P.G.P. D.O.O., ZAGREB")</f>
        <v>P.G.P. D.O.O., ZAGREB</v>
      </c>
      <c r="I1881" s="2"/>
      <c r="J1881" s="1"/>
      <c r="K1881" s="2"/>
    </row>
    <row r="1882" spans="1:11" ht="47.25" x14ac:dyDescent="0.25">
      <c r="A1882" s="1" t="str">
        <f>"455/2014"</f>
        <v>455/2014</v>
      </c>
      <c r="B1882" s="1" t="s">
        <v>14</v>
      </c>
      <c r="C1882" s="1" t="s">
        <v>801</v>
      </c>
      <c r="D1882" s="1" t="str">
        <f>CONCATENATE("1324-2014-EMV",CHAR(10),"2014/S 002-0029131 od 11.06.2014.")</f>
        <v>1324-2014-EMV
2014/S 002-0029131 od 11.06.2014.</v>
      </c>
      <c r="E1882" s="1" t="s">
        <v>15</v>
      </c>
      <c r="F1882" s="1" t="str">
        <f>"486.668,00"</f>
        <v>486.668,00</v>
      </c>
      <c r="G1882" s="1" t="str">
        <f>CONCATENATE("21.08.2014.",CHAR(10),"60 dana od dana  uvođenja u posao")</f>
        <v>21.08.2014.
60 dana od dana  uvođenja u posao</v>
      </c>
      <c r="H1882" s="1" t="str">
        <f>CONCATENATE("MONTEL D.O.O., ZAGREB")</f>
        <v>MONTEL D.O.O., ZAGREB</v>
      </c>
      <c r="I1882" s="2"/>
      <c r="J1882" s="1"/>
      <c r="K1882" s="2"/>
    </row>
    <row r="1883" spans="1:11" ht="47.25" x14ac:dyDescent="0.25">
      <c r="A1883" s="1" t="str">
        <f>"456/2014"</f>
        <v>456/2014</v>
      </c>
      <c r="B1883" s="1" t="s">
        <v>26</v>
      </c>
      <c r="C1883" s="1" t="s">
        <v>2829</v>
      </c>
      <c r="D1883" s="1" t="str">
        <f>"197-2013-EMV"</f>
        <v>197-2013-EMV</v>
      </c>
      <c r="E1883" s="2"/>
      <c r="F1883" s="1" t="str">
        <f>"50.000,00"</f>
        <v>50.000,00</v>
      </c>
      <c r="G1883" s="1" t="str">
        <f>CONCATENATE("08.08.2014.",CHAR(10),"12 mjeseci")</f>
        <v>08.08.2014.
12 mjeseci</v>
      </c>
      <c r="H1883" s="1" t="str">
        <f>CONCATENATE("INEL-MONTAŽA D.O.O., ZAGREB")</f>
        <v>INEL-MONTAŽA D.O.O., ZAGREB</v>
      </c>
      <c r="I1883" s="2"/>
      <c r="J1883" s="1"/>
      <c r="K1883" s="2"/>
    </row>
    <row r="1884" spans="1:11" ht="63" x14ac:dyDescent="0.25">
      <c r="A1884" s="1" t="str">
        <f>"A-97/2014"</f>
        <v>A-97/2014</v>
      </c>
      <c r="B1884" s="1" t="s">
        <v>11</v>
      </c>
      <c r="C1884" s="1" t="s">
        <v>802</v>
      </c>
      <c r="D1884" s="1" t="str">
        <f>"1109-2013-EVV"</f>
        <v>1109-2013-EVV</v>
      </c>
      <c r="E1884" s="2"/>
      <c r="F1884" s="1" t="str">
        <f>"0,00"</f>
        <v>0,00</v>
      </c>
      <c r="G1884" s="1" t="str">
        <f>CONCATENATE("21.08.2014.",CHAR(10),"30 dana od dana kada se predmetna roba bude mogla montirati")</f>
        <v>21.08.2014.
30 dana od dana kada se predmetna roba bude mogla montirati</v>
      </c>
      <c r="H1884" s="1" t="str">
        <f>CONCATENATE("ŠKOLSKI SERVIS D.O.O., ZAGREB")</f>
        <v>ŠKOLSKI SERVIS D.O.O., ZAGREB</v>
      </c>
      <c r="I1884" s="2"/>
      <c r="J1884" s="1"/>
      <c r="K1884" s="2"/>
    </row>
    <row r="1885" spans="1:11" ht="31.5" x14ac:dyDescent="0.25">
      <c r="A1885" s="1" t="str">
        <f>"A-98/2014"</f>
        <v>A-98/2014</v>
      </c>
      <c r="B1885" s="1" t="s">
        <v>11</v>
      </c>
      <c r="C1885" s="1" t="s">
        <v>803</v>
      </c>
      <c r="D1885" s="1" t="str">
        <f>"769-2012-EMV"</f>
        <v>769-2012-EMV</v>
      </c>
      <c r="E1885" s="2"/>
      <c r="F1885" s="1" t="str">
        <f>"0,00"</f>
        <v>0,00</v>
      </c>
      <c r="G1885" s="1" t="str">
        <f>CONCATENATE("21.08.2014.",CHAR(10),"do 20.12.2014")</f>
        <v>21.08.2014.
do 20.12.2014</v>
      </c>
      <c r="H1885" s="1" t="str">
        <f>CONCATENATE("HEDOM D.O.O., ZAGREB")</f>
        <v>HEDOM D.O.O., ZAGREB</v>
      </c>
      <c r="I1885" s="2"/>
      <c r="J1885" s="1"/>
      <c r="K1885" s="2"/>
    </row>
    <row r="1886" spans="1:11" ht="63" x14ac:dyDescent="0.25">
      <c r="A1886" s="1" t="str">
        <f>"A-99/2014"</f>
        <v>A-99/2014</v>
      </c>
      <c r="B1886" s="1" t="s">
        <v>11</v>
      </c>
      <c r="C1886" s="1" t="s">
        <v>804</v>
      </c>
      <c r="D1886" s="1" t="str">
        <f>"2850-2013-EMV"</f>
        <v>2850-2013-EMV</v>
      </c>
      <c r="E1886" s="2"/>
      <c r="F1886" s="1" t="str">
        <f>"0,00"</f>
        <v>0,00</v>
      </c>
      <c r="G1886" s="1" t="str">
        <f>CONCATENATE("21.08.2014.",CHAR(10),"30.10.2014")</f>
        <v>21.08.2014.
30.10.2014</v>
      </c>
      <c r="H1886" s="1" t="str">
        <f>CONCATENATE("1. Zajednica ponuditelja: ",CHAR(10),"    PRIMA PARS D.O.O., ZAGREB",CHAR(10),"    BESTPROJEKT D.O.O., ZAGREB",CHAR(10),"    D&amp;Z D.O.O., ZADAR")</f>
        <v>1. Zajednica ponuditelja: 
    PRIMA PARS D.O.O., ZAGREB
    BESTPROJEKT D.O.O., ZAGREB
    D&amp;Z D.O.O., ZADAR</v>
      </c>
      <c r="I1886" s="2"/>
      <c r="J1886" s="1"/>
      <c r="K1886" s="2"/>
    </row>
    <row r="1887" spans="1:11" ht="110.25" x14ac:dyDescent="0.25">
      <c r="A1887" s="1" t="str">
        <f>"457/2014"</f>
        <v>457/2014</v>
      </c>
      <c r="B1887" s="1" t="s">
        <v>136</v>
      </c>
      <c r="C1887" s="1" t="s">
        <v>805</v>
      </c>
      <c r="D1887" s="1" t="str">
        <f>CONCATENATE("2014-2309",CHAR(10),"2014/S 002-0029379 od 12.06.2014.")</f>
        <v>2014-2309
2014/S 002-0029379 od 12.06.2014.</v>
      </c>
      <c r="E1887" s="1" t="s">
        <v>366</v>
      </c>
      <c r="F1887" s="1" t="str">
        <f>"186.188,05"</f>
        <v>186.188,05</v>
      </c>
      <c r="G1887" s="1" t="str">
        <f>CONCATENATE("21.08.2014.",CHAR(10),"2 godine")</f>
        <v>21.08.2014.
2 godine</v>
      </c>
      <c r="H1887" s="1" t="str">
        <f>CONCATENATE("1. Zajednica ponuditelja: ",CHAR(10),"    ELEKTROCENTAR PETEK D.O.O., IVANIĆ-GRAD",CHAR(10),"    ELEKTRO-KOMUNIKACIJE D.O.O., ZAGREB",CHAR(10),"    AUTO - MAG D.O.O., GORNJI STUPNIK")</f>
        <v>1. Zajednica ponuditelja: 
    ELEKTROCENTAR PETEK D.O.O., IVANIĆ-GRAD
    ELEKTRO-KOMUNIKACIJE D.O.O., ZAGREB
    AUTO - MAG D.O.O., GORNJI STUPNIK</v>
      </c>
      <c r="I1887" s="2"/>
      <c r="J1887" s="1"/>
      <c r="K1887" s="1" t="s">
        <v>607</v>
      </c>
    </row>
    <row r="1888" spans="1:11" ht="78.75" x14ac:dyDescent="0.25">
      <c r="A1888" s="1" t="str">
        <f>"458/2014"</f>
        <v>458/2014</v>
      </c>
      <c r="B1888" s="1" t="s">
        <v>136</v>
      </c>
      <c r="C1888" s="1" t="s">
        <v>806</v>
      </c>
      <c r="D1888" s="1" t="str">
        <f>CONCATENATE("2014-93",CHAR(10),"2014/S 002-0023005 od  8.5.2014 i ispravak objave 2014/S 014-0023881 od od 12.05.2014.")</f>
        <v>2014-93
2014/S 002-0023005 od  8.5.2014 i ispravak objave 2014/S 014-0023881 od od 12.05.2014.</v>
      </c>
      <c r="E1888" s="1" t="s">
        <v>366</v>
      </c>
      <c r="F1888" s="1" t="str">
        <f>"4.519.285,00"</f>
        <v>4.519.285,00</v>
      </c>
      <c r="G1888" s="1" t="str">
        <f>CONCATENATE("25.08.2014.",CHAR(10),"2 godine")</f>
        <v>25.08.2014.
2 godine</v>
      </c>
      <c r="H1888" s="1" t="str">
        <f>CONCATENATE("MBM D.O.O., LUČKO")</f>
        <v>MBM D.O.O., LUČKO</v>
      </c>
      <c r="I1888" s="2"/>
      <c r="J1888" s="1"/>
      <c r="K1888" s="1" t="s">
        <v>607</v>
      </c>
    </row>
    <row r="1889" spans="1:11" ht="63" x14ac:dyDescent="0.25">
      <c r="A1889" s="1" t="str">
        <f>"459/2014"</f>
        <v>459/2014</v>
      </c>
      <c r="B1889" s="1" t="s">
        <v>14</v>
      </c>
      <c r="C1889" s="1" t="s">
        <v>807</v>
      </c>
      <c r="D1889" s="1" t="str">
        <f>CONCATENATE("2209-2014-EBV",CHAR(10),"2014/S 015-0038198 od 06.08.2014.")</f>
        <v>2209-2014-EBV
2014/S 015-0038198 od 06.08.2014.</v>
      </c>
      <c r="E1889" s="1" t="s">
        <v>12</v>
      </c>
      <c r="F1889" s="1" t="str">
        <f>"49.016,31"</f>
        <v>49.016,31</v>
      </c>
      <c r="G1889" s="1" t="str">
        <f>CONCATENATE("25.08.2014.",CHAR(10),"30 dana od dana uvođenja u posao")</f>
        <v>25.08.2014.
30 dana od dana uvođenja u posao</v>
      </c>
      <c r="H1889" s="1" t="str">
        <f>CONCATENATE("1. Zajednica ponuditelja: ",CHAR(10),"    PRIGORAC-GRAĐENJE D.O.O., SESVETE",CHAR(10),"    MGV D.O.O., ZAGREB")</f>
        <v>1. Zajednica ponuditelja: 
    PRIGORAC-GRAĐENJE D.O.O., SESVETE
    MGV D.O.O., ZAGREB</v>
      </c>
      <c r="I1889" s="1" t="s">
        <v>477</v>
      </c>
      <c r="J1889" s="1" t="str">
        <f>SUBSTITUTE(SUBSTITUTE(SUBSTITUTE("61,270.39",".","-"),",","."),"-",",")</f>
        <v>61.270,39</v>
      </c>
      <c r="K1889" s="2"/>
    </row>
    <row r="1890" spans="1:11" ht="47.25" x14ac:dyDescent="0.25">
      <c r="A1890" s="1" t="str">
        <f>"460/2014"</f>
        <v>460/2014</v>
      </c>
      <c r="B1890" s="1" t="s">
        <v>14</v>
      </c>
      <c r="C1890" s="1" t="s">
        <v>808</v>
      </c>
      <c r="D1890" s="1" t="str">
        <f>CONCATENATE("1373-2014-EMV",CHAR(10),"2014/S 002-0015020 od 25.03.2014.")</f>
        <v>1373-2014-EMV
2014/S 002-0015020 od 25.03.2014.</v>
      </c>
      <c r="E1890" s="1" t="s">
        <v>15</v>
      </c>
      <c r="F1890" s="1" t="str">
        <f>"1.060.976,70"</f>
        <v>1.060.976,70</v>
      </c>
      <c r="G1890" s="1" t="str">
        <f>CONCATENATE("22.07.2014.",CHAR(10),"3 mjeseca od dana uvođenja u posao")</f>
        <v>22.07.2014.
3 mjeseca od dana uvođenja u posao</v>
      </c>
      <c r="H1890" s="1" t="str">
        <f>CONCATENATE("1. Zajednica ponuditelja: ",CHAR(10),"    P.G.P. D.O.O., ZAGREB",CHAR(10),"    MONTERRA D.O.O., RIJEKA")</f>
        <v>1. Zajednica ponuditelja: 
    P.G.P. D.O.O., ZAGREB
    MONTERRA D.O.O., RIJEKA</v>
      </c>
      <c r="I1890" s="2"/>
      <c r="J1890" s="1"/>
      <c r="K1890" s="2"/>
    </row>
    <row r="1891" spans="1:11" ht="63" x14ac:dyDescent="0.25">
      <c r="A1891" s="1" t="str">
        <f>"461/2014"</f>
        <v>461/2014</v>
      </c>
      <c r="B1891" s="1" t="s">
        <v>14</v>
      </c>
      <c r="C1891" s="1" t="s">
        <v>809</v>
      </c>
      <c r="D1891" s="1" t="str">
        <f>CONCATENATE("2913-2014-EVV",CHAR(10),"2014/S 015-0037458 od 01.08.2014.")</f>
        <v>2913-2014-EVV
2014/S 015-0037458 od 01.08.2014.</v>
      </c>
      <c r="E1891" s="1" t="s">
        <v>12</v>
      </c>
      <c r="F1891" s="1" t="str">
        <f>"15.304.056,16"</f>
        <v>15.304.056,16</v>
      </c>
      <c r="G1891" s="1" t="str">
        <f>CONCATENATE("18.08.2014.",CHAR(10),"Odmah nakon obostranog potpisa Ugovora, a najkasnije do 25.08.2014")</f>
        <v>18.08.2014.
Odmah nakon obostranog potpisa Ugovora, a najkasnije do 25.08.2014</v>
      </c>
      <c r="H1891" s="1" t="str">
        <f>CONCATENATE("PROFIL INTERNATIONAL D.O.O., ZAGREB")</f>
        <v>PROFIL INTERNATIONAL D.O.O., ZAGREB</v>
      </c>
      <c r="I1891" s="1" t="s">
        <v>414</v>
      </c>
      <c r="J1891" s="1" t="str">
        <f>SUBSTITUTE(SUBSTITUTE(SUBSTITUTE("16,069,258.97",".","-"),",","."),"-",",")</f>
        <v>16.069.258,97</v>
      </c>
      <c r="K1891" s="2"/>
    </row>
    <row r="1892" spans="1:11" ht="31.5" x14ac:dyDescent="0.25">
      <c r="A1892" s="1" t="str">
        <f>"A-100/2014"</f>
        <v>A-100/2014</v>
      </c>
      <c r="B1892" s="1" t="s">
        <v>11</v>
      </c>
      <c r="C1892" s="1" t="s">
        <v>810</v>
      </c>
      <c r="D1892" s="1" t="str">
        <f>"1403-2013-EMV"</f>
        <v>1403-2013-EMV</v>
      </c>
      <c r="E1892" s="2"/>
      <c r="F1892" s="1" t="str">
        <f>"66.548,46"</f>
        <v>66.548,46</v>
      </c>
      <c r="G1892" s="1" t="str">
        <f>"25.08.2014."</f>
        <v>25.08.2014.</v>
      </c>
      <c r="H1892" s="1" t="str">
        <f>CONCATENATE("P.G.P. D.O.O., ZAGREB")</f>
        <v>P.G.P. D.O.O., ZAGREB</v>
      </c>
      <c r="I1892" s="2"/>
      <c r="J1892" s="1"/>
      <c r="K1892" s="2"/>
    </row>
    <row r="1893" spans="1:11" ht="47.25" x14ac:dyDescent="0.25">
      <c r="A1893" s="1" t="str">
        <f>"462/2014"</f>
        <v>462/2014</v>
      </c>
      <c r="B1893" s="1" t="s">
        <v>14</v>
      </c>
      <c r="C1893" s="1" t="s">
        <v>811</v>
      </c>
      <c r="D1893" s="1" t="str">
        <f>CONCATENATE("2014-2064",CHAR(10),"2014/S 002-0030261 od 18.06.2014.")</f>
        <v>2014-2064
2014/S 002-0030261 od 18.06.2014.</v>
      </c>
      <c r="E1893" s="1" t="s">
        <v>15</v>
      </c>
      <c r="F1893" s="1" t="str">
        <f>"445.820,30"</f>
        <v>445.820,30</v>
      </c>
      <c r="G1893" s="1" t="str">
        <f>CONCATENATE("25.08.2014.",CHAR(10),"120 dana od dana uvođenja u posao")</f>
        <v>25.08.2014.
120 dana od dana uvođenja u posao</v>
      </c>
      <c r="H1893" s="1" t="str">
        <f>CONCATENATE("1. Zajednica ponuditelja: ",CHAR(10),"    GRADEX &amp; CO D.O.O., ZABOK",CHAR(10),"    GEO-BT D.O.O., ZABOK")</f>
        <v>1. Zajednica ponuditelja: 
    GRADEX &amp; CO D.O.O., ZABOK
    GEO-BT D.O.O., ZABOK</v>
      </c>
      <c r="I1893" s="2"/>
      <c r="J1893" s="1"/>
      <c r="K1893" s="1" t="s">
        <v>607</v>
      </c>
    </row>
    <row r="1894" spans="1:11" ht="47.25" x14ac:dyDescent="0.25">
      <c r="A1894" s="1" t="str">
        <f>"463/2014"</f>
        <v>463/2014</v>
      </c>
      <c r="B1894" s="1" t="s">
        <v>14</v>
      </c>
      <c r="C1894" s="1" t="s">
        <v>812</v>
      </c>
      <c r="D1894" s="1" t="str">
        <f>CONCATENATE("2014-2117",CHAR(10),"2014/S 002-0029516 od 12.06.2014.")</f>
        <v>2014-2117
2014/S 002-0029516 od 12.06.2014.</v>
      </c>
      <c r="E1894" s="1" t="s">
        <v>15</v>
      </c>
      <c r="F1894" s="1" t="str">
        <f>"2.781.302,09"</f>
        <v>2.781.302,09</v>
      </c>
      <c r="G1894" s="1" t="str">
        <f>CONCATENATE("25.08.2014.",CHAR(10),"180 dana od dana sklapanja ugovora i uvođenja u posao")</f>
        <v>25.08.2014.
180 dana od dana sklapanja ugovora i uvođenja u posao</v>
      </c>
      <c r="H1894" s="1" t="str">
        <f>CONCATENATE("GEORAD D.O.O., ZAGREB")</f>
        <v>GEORAD D.O.O., ZAGREB</v>
      </c>
      <c r="I1894" s="2"/>
      <c r="J1894" s="1"/>
      <c r="K1894" s="1" t="s">
        <v>607</v>
      </c>
    </row>
    <row r="1895" spans="1:11" ht="47.25" x14ac:dyDescent="0.25">
      <c r="A1895" s="1" t="str">
        <f>"464/2014"</f>
        <v>464/2014</v>
      </c>
      <c r="B1895" s="1" t="s">
        <v>14</v>
      </c>
      <c r="C1895" s="1" t="s">
        <v>813</v>
      </c>
      <c r="D1895" s="1" t="str">
        <f>CONCATENATE("2014-2063",CHAR(10),"2014/S 002-0024734 od 19.05.2014.")</f>
        <v>2014-2063
2014/S 002-0024734 od 19.05.2014.</v>
      </c>
      <c r="E1895" s="1" t="s">
        <v>15</v>
      </c>
      <c r="F1895" s="1" t="str">
        <f>"1.514.366,78"</f>
        <v>1.514.366,78</v>
      </c>
      <c r="G1895" s="1" t="str">
        <f>CONCATENATE("25.08.2014.",CHAR(10),"250 dana od dana uvođenja u posao")</f>
        <v>25.08.2014.
250 dana od dana uvođenja u posao</v>
      </c>
      <c r="H1895" s="1" t="str">
        <f>CONCATENATE("1. Zajednica ponuditelja: ",CHAR(10),"    VODOGRADNJA D.D., VARAŽDIN",CHAR(10),"    AQUATEHNIKA D.O.O., VARAŽDIN")</f>
        <v>1. Zajednica ponuditelja: 
    VODOGRADNJA D.D., VARAŽDIN
    AQUATEHNIKA D.O.O., VARAŽDIN</v>
      </c>
      <c r="I1895" s="2"/>
      <c r="J1895" s="1"/>
      <c r="K1895" s="1" t="s">
        <v>607</v>
      </c>
    </row>
    <row r="1896" spans="1:11" ht="94.5" x14ac:dyDescent="0.25">
      <c r="A1896" s="1" t="str">
        <f>"465/2014"</f>
        <v>465/2014</v>
      </c>
      <c r="B1896" s="1" t="s">
        <v>14</v>
      </c>
      <c r="C1896" s="1" t="s">
        <v>814</v>
      </c>
      <c r="D1896" s="1" t="str">
        <f>CONCATENATE("2833-2014-EMV",CHAR(10),"2014/S 015-0037676 od 01.08.2014.")</f>
        <v>2833-2014-EMV
2014/S 015-0037676 od 01.08.2014.</v>
      </c>
      <c r="E1896" s="1" t="s">
        <v>12</v>
      </c>
      <c r="F1896" s="1" t="str">
        <f>"998.000,00"</f>
        <v>998.000,00</v>
      </c>
      <c r="G1896" s="1" t="str">
        <f>CONCATENATE("25.08.2014.",CHAR(10),"105 dana")</f>
        <v>25.08.2014.
105 dana</v>
      </c>
      <c r="H1896" s="1" t="str">
        <f>CONCATENATE("ZO-INVEST, ZAGREB")</f>
        <v>ZO-INVEST, ZAGREB</v>
      </c>
      <c r="I1896" s="2"/>
      <c r="J1896" s="1"/>
      <c r="K1896" s="2"/>
    </row>
    <row r="1897" spans="1:11" ht="78.75" x14ac:dyDescent="0.25">
      <c r="A1897" s="1" t="str">
        <f>"466/2014"</f>
        <v>466/2014</v>
      </c>
      <c r="B1897" s="1" t="s">
        <v>136</v>
      </c>
      <c r="C1897" s="1" t="s">
        <v>815</v>
      </c>
      <c r="D1897" s="1" t="str">
        <f>CONCATENATE("2014-1569",CHAR(10),"2014/S 002-0025491OD 22.5.2014 ispravak objave od2014/S-014-0030180 od 17.06.2014.")</f>
        <v>2014-1569
2014/S 002-0025491OD 22.5.2014 ispravak objave od2014/S-014-0030180 od 17.06.2014.</v>
      </c>
      <c r="E1897" s="1" t="s">
        <v>366</v>
      </c>
      <c r="F1897" s="1" t="str">
        <f>"110.189.778,00"</f>
        <v>110.189.778,00</v>
      </c>
      <c r="G1897" s="1" t="str">
        <f>CONCATENATE("20.08.2014.",CHAR(10),"2 godine")</f>
        <v>20.08.2014.
2 godine</v>
      </c>
      <c r="H1897" s="1" t="str">
        <f>CONCATENATE("ELECTUS DGS D.O.O., ZAGREB")</f>
        <v>ELECTUS DGS D.O.O., ZAGREB</v>
      </c>
      <c r="I1897" s="2"/>
      <c r="J1897" s="1"/>
      <c r="K1897" s="1" t="s">
        <v>607</v>
      </c>
    </row>
    <row r="1898" spans="1:11" ht="47.25" x14ac:dyDescent="0.25">
      <c r="A1898" s="1" t="str">
        <f>"467/2014"</f>
        <v>467/2014</v>
      </c>
      <c r="B1898" s="1" t="s">
        <v>14</v>
      </c>
      <c r="C1898" s="1" t="s">
        <v>816</v>
      </c>
      <c r="D1898" s="1" t="str">
        <f>CONCATENATE("1219-2014-EMV",CHAR(10),"2014/S 002-0026314 od 27.05.2014.")</f>
        <v>1219-2014-EMV
2014/S 002-0026314 od 27.05.2014.</v>
      </c>
      <c r="E1898" s="1" t="s">
        <v>15</v>
      </c>
      <c r="F1898" s="1" t="str">
        <f>"399.802,00"</f>
        <v>399.802,00</v>
      </c>
      <c r="G1898" s="1" t="str">
        <f>CONCATENATE("26.08.2014.",CHAR(10),"3 mjeseca od dana uvođenja u posao")</f>
        <v>26.08.2014.
3 mjeseca od dana uvođenja u posao</v>
      </c>
      <c r="H1898" s="1" t="str">
        <f>CONCATENATE("1. Zajednica ponuditelja: ",CHAR(10),"    PUTAK GRADNJA D.O.O., ZAGREB",CHAR(10),"    C.I.A.K. D.O.O., ZAGREB")</f>
        <v>1. Zajednica ponuditelja: 
    PUTAK GRADNJA D.O.O., ZAGREB
    C.I.A.K. D.O.O., ZAGREB</v>
      </c>
      <c r="I1898" s="2"/>
      <c r="J1898" s="1"/>
      <c r="K1898" s="2"/>
    </row>
    <row r="1899" spans="1:11" ht="47.25" x14ac:dyDescent="0.25">
      <c r="A1899" s="1" t="str">
        <f>"469/2014"</f>
        <v>469/2014</v>
      </c>
      <c r="B1899" s="1" t="s">
        <v>14</v>
      </c>
      <c r="C1899" s="1" t="s">
        <v>817</v>
      </c>
      <c r="D1899" s="1" t="str">
        <f>CONCATENATE("2014-2298",CHAR(10),"2014/S 002-0028778 od 06.06.2014.")</f>
        <v>2014-2298
2014/S 002-0028778 od 06.06.2014.</v>
      </c>
      <c r="E1899" s="1" t="s">
        <v>15</v>
      </c>
      <c r="F1899" s="1" t="str">
        <f>"407.770,04"</f>
        <v>407.770,04</v>
      </c>
      <c r="G1899" s="1" t="str">
        <f>CONCATENATE("25.08.2014.",CHAR(10),"1 godina")</f>
        <v>25.08.2014.
1 godina</v>
      </c>
      <c r="H1899" s="1" t="str">
        <f>CONCATENATE("INDUSTROPROMET D.O.O., ZAGREB")</f>
        <v>INDUSTROPROMET D.O.O., ZAGREB</v>
      </c>
      <c r="I1899" s="2"/>
      <c r="J1899" s="1"/>
      <c r="K1899" s="1" t="s">
        <v>607</v>
      </c>
    </row>
    <row r="1900" spans="1:11" ht="47.25" x14ac:dyDescent="0.25">
      <c r="A1900" s="1" t="str">
        <f>"470/2014"</f>
        <v>470/2014</v>
      </c>
      <c r="B1900" s="1" t="s">
        <v>14</v>
      </c>
      <c r="C1900" s="1" t="s">
        <v>818</v>
      </c>
      <c r="D1900" s="1" t="str">
        <f>CONCATENATE("1416-2014-EMV",CHAR(10),"2014/S 002-0025000 od 20.05.2014.")</f>
        <v>1416-2014-EMV
2014/S 002-0025000 od 20.05.2014.</v>
      </c>
      <c r="E1900" s="1" t="s">
        <v>15</v>
      </c>
      <c r="F1900" s="1" t="str">
        <f>"2.456.153,75"</f>
        <v>2.456.153,75</v>
      </c>
      <c r="G1900" s="1" t="str">
        <f>CONCATENATE("27.08.2014.",CHAR(10),"12 mjeseci")</f>
        <v>27.08.2014.
12 mjeseci</v>
      </c>
      <c r="H1900" s="1" t="str">
        <f>CONCATENATE("GRADITELJ SVRATIŠTA D.O.O., ZAGREB")</f>
        <v>GRADITELJ SVRATIŠTA D.O.O., ZAGREB</v>
      </c>
      <c r="I1900" s="2"/>
      <c r="J1900" s="1"/>
      <c r="K1900" s="2"/>
    </row>
    <row r="1901" spans="1:11" ht="47.25" x14ac:dyDescent="0.25">
      <c r="A1901" s="1" t="str">
        <f>"471/2014"</f>
        <v>471/2014</v>
      </c>
      <c r="B1901" s="1" t="s">
        <v>14</v>
      </c>
      <c r="C1901" s="1" t="s">
        <v>819</v>
      </c>
      <c r="D1901" s="1" t="str">
        <f>CONCATENATE("2182-2014-EBV",CHAR(10),"2014/S 015-0039145 od 18.08.2014.")</f>
        <v>2182-2014-EBV
2014/S 015-0039145 od 18.08.2014.</v>
      </c>
      <c r="E1901" s="1" t="s">
        <v>12</v>
      </c>
      <c r="F1901" s="1" t="str">
        <f>"28.000,00"</f>
        <v>28.000,00</v>
      </c>
      <c r="G1901" s="1" t="str">
        <f>CONCATENATE("27.08.2014.",CHAR(10),"30 dana od dana uvođenja u posao")</f>
        <v>27.08.2014.
30 dana od dana uvođenja u posao</v>
      </c>
      <c r="H1901" s="1" t="str">
        <f>CONCATENATE("SPEKTAR GRADNJA D.O.O., ZAGREB")</f>
        <v>SPEKTAR GRADNJA D.O.O., ZAGREB</v>
      </c>
      <c r="I1901" s="1" t="s">
        <v>77</v>
      </c>
      <c r="J1901" s="1" t="str">
        <f>SUBSTITUTE(SUBSTITUTE(SUBSTITUTE("35,000.00",".","-"),",","."),"-",",")</f>
        <v>35.000,00</v>
      </c>
      <c r="K1901" s="2"/>
    </row>
    <row r="1902" spans="1:11" ht="47.25" x14ac:dyDescent="0.25">
      <c r="A1902" s="1" t="str">
        <f>"472/2014"</f>
        <v>472/2014</v>
      </c>
      <c r="B1902" s="1" t="s">
        <v>136</v>
      </c>
      <c r="C1902" s="1" t="s">
        <v>820</v>
      </c>
      <c r="D1902" s="1" t="str">
        <f>CONCATENATE("2014-2201",CHAR(10),"2014/S 002-0029277 od 11.06.2014.")</f>
        <v>2014-2201
2014/S 002-0029277 od 11.06.2014.</v>
      </c>
      <c r="E1902" s="1" t="s">
        <v>366</v>
      </c>
      <c r="F1902" s="1" t="str">
        <f>"478.200,00"</f>
        <v>478.200,00</v>
      </c>
      <c r="G1902" s="1" t="str">
        <f>CONCATENATE("27.08.2014.",CHAR(10),"2 godine")</f>
        <v>27.08.2014.
2 godine</v>
      </c>
      <c r="H1902" s="1" t="str">
        <f>CONCATENATE("GEOGIS D.O.O., ZAGREB")</f>
        <v>GEOGIS D.O.O., ZAGREB</v>
      </c>
      <c r="I1902" s="2"/>
      <c r="J1902" s="1"/>
      <c r="K1902" s="1" t="s">
        <v>607</v>
      </c>
    </row>
    <row r="1903" spans="1:11" ht="47.25" x14ac:dyDescent="0.25">
      <c r="A1903" s="1" t="str">
        <f>"473/2014"</f>
        <v>473/2014</v>
      </c>
      <c r="B1903" s="1" t="s">
        <v>14</v>
      </c>
      <c r="C1903" s="1" t="s">
        <v>821</v>
      </c>
      <c r="D1903" s="1" t="str">
        <f>CONCATENATE("2014-2279",CHAR(10),"2014/S-002-0030508 od 20.06.2014.")</f>
        <v>2014-2279
2014/S-002-0030508 od 20.06.2014.</v>
      </c>
      <c r="E1903" s="1" t="s">
        <v>15</v>
      </c>
      <c r="F1903" s="1" t="str">
        <f>"586.295,50"</f>
        <v>586.295,50</v>
      </c>
      <c r="G1903" s="1" t="str">
        <f>CONCATENATE("27.08.2014.",CHAR(10),"1 godine")</f>
        <v>27.08.2014.
1 godine</v>
      </c>
      <c r="H1903" s="1" t="str">
        <f>CONCATENATE("INDUSTROPROMET D.O.O., ZAGREB")</f>
        <v>INDUSTROPROMET D.O.O., ZAGREB</v>
      </c>
      <c r="I1903" s="2"/>
      <c r="J1903" s="1"/>
      <c r="K1903" s="1" t="s">
        <v>607</v>
      </c>
    </row>
    <row r="1904" spans="1:11" ht="47.25" x14ac:dyDescent="0.25">
      <c r="A1904" s="1" t="str">
        <f>"474/2014"</f>
        <v>474/2014</v>
      </c>
      <c r="B1904" s="1" t="s">
        <v>14</v>
      </c>
      <c r="C1904" s="1" t="s">
        <v>822</v>
      </c>
      <c r="D1904" s="1" t="str">
        <f>CONCATENATE("1308-2014-EMV",CHAR(10),"2014/S 002-0020926 od 23.04.2014.")</f>
        <v>1308-2014-EMV
2014/S 002-0020926 od 23.04.2014.</v>
      </c>
      <c r="E1904" s="1" t="s">
        <v>15</v>
      </c>
      <c r="F1904" s="1" t="str">
        <f>"472.939,38"</f>
        <v>472.939,38</v>
      </c>
      <c r="G1904" s="1" t="str">
        <f>CONCATENATE("12.08.2014.",CHAR(10),"30 dana od dana uvođenja u posao")</f>
        <v>12.08.2014.
30 dana od dana uvođenja u posao</v>
      </c>
      <c r="H1904" s="1" t="str">
        <f>CONCATENATE("PRIGORAC-GRAĐENJE D.O.O., SESVETE")</f>
        <v>PRIGORAC-GRAĐENJE D.O.O., SESVETE</v>
      </c>
      <c r="I1904" s="2"/>
      <c r="J1904" s="1"/>
      <c r="K1904" s="2"/>
    </row>
    <row r="1905" spans="1:11" ht="47.25" x14ac:dyDescent="0.25">
      <c r="A1905" s="1" t="str">
        <f>"475/2014"</f>
        <v>475/2014</v>
      </c>
      <c r="B1905" s="1" t="s">
        <v>136</v>
      </c>
      <c r="C1905" s="1" t="s">
        <v>823</v>
      </c>
      <c r="D1905" s="1" t="str">
        <f>CONCATENATE("Z-2014-2",CHAR(10),"2014/S 002-0011389 od 06.03.2014.")</f>
        <v>Z-2014-2
2014/S 002-0011389 od 06.03.2014.</v>
      </c>
      <c r="E1905" s="1" t="s">
        <v>366</v>
      </c>
      <c r="F1905" s="1" t="str">
        <f>"2.271.217,50"</f>
        <v>2.271.217,50</v>
      </c>
      <c r="G1905" s="1" t="str">
        <f>CONCATENATE("29.08.2014.",CHAR(10),"1 godina")</f>
        <v>29.08.2014.
1 godina</v>
      </c>
      <c r="H1905" s="1" t="str">
        <f>CONCATENATE("BIRODOM D.O.O., LUČKO",CHAR(10),"NARODNE NOVINE D.D., ZAGREB",CHAR(10),"CAPRICORNO D.O.O., SPLIT")</f>
        <v>BIRODOM D.O.O., LUČKO
NARODNE NOVINE D.D., ZAGREB
CAPRICORNO D.O.O., SPLIT</v>
      </c>
      <c r="I1905" s="2"/>
      <c r="J1905" s="1"/>
      <c r="K1905" s="1" t="s">
        <v>607</v>
      </c>
    </row>
    <row r="1906" spans="1:11" ht="47.25" x14ac:dyDescent="0.25">
      <c r="A1906" s="1" t="str">
        <f>"476/2014"</f>
        <v>476/2014</v>
      </c>
      <c r="B1906" s="1" t="s">
        <v>14</v>
      </c>
      <c r="C1906" s="1" t="s">
        <v>824</v>
      </c>
      <c r="D1906" s="1" t="str">
        <f>CONCATENATE("1325-2014-EMV",CHAR(10),"2014/S 002-0029052 od 10.06.2014.")</f>
        <v>1325-2014-EMV
2014/S 002-0029052 od 10.06.2014.</v>
      </c>
      <c r="E1906" s="1" t="s">
        <v>15</v>
      </c>
      <c r="F1906" s="1" t="str">
        <f>"993.207,01"</f>
        <v>993.207,01</v>
      </c>
      <c r="G1906" s="1" t="str">
        <f>CONCATENATE("29.08.2014.",CHAR(10),"30 dana od dana uvođenja u posao")</f>
        <v>29.08.2014.
30 dana od dana uvođenja u posao</v>
      </c>
      <c r="H1906" s="1" t="str">
        <f>CONCATENATE("PEEK PROMET D.O.O., ZAGREB")</f>
        <v>PEEK PROMET D.O.O., ZAGREB</v>
      </c>
      <c r="I1906" s="2"/>
      <c r="J1906" s="1"/>
      <c r="K1906" s="2"/>
    </row>
    <row r="1907" spans="1:11" ht="47.25" x14ac:dyDescent="0.25">
      <c r="A1907" s="1" t="str">
        <f>"477/2014"</f>
        <v>477/2014</v>
      </c>
      <c r="B1907" s="1" t="s">
        <v>14</v>
      </c>
      <c r="C1907" s="1" t="s">
        <v>825</v>
      </c>
      <c r="D1907" s="1" t="str">
        <f>CONCATENATE("1323-2014-EMV",CHAR(10),"2014/S 002-0029001 od 10.06.2014.")</f>
        <v>1323-2014-EMV
2014/S 002-0029001 od 10.06.2014.</v>
      </c>
      <c r="E1907" s="1" t="s">
        <v>15</v>
      </c>
      <c r="F1907" s="1" t="str">
        <f>"5.222.727,80"</f>
        <v>5.222.727,80</v>
      </c>
      <c r="G1907" s="1" t="str">
        <f>CONCATENATE("26.08.2014.",CHAR(10),"90 dana računajući od dana uvođenja u posao")</f>
        <v>26.08.2014.
90 dana računajući od dana uvođenja u posao</v>
      </c>
      <c r="H1907" s="1" t="str">
        <f>CONCATENATE("HVAR D.O.O., SAMOBOR")</f>
        <v>HVAR D.O.O., SAMOBOR</v>
      </c>
      <c r="I1907" s="2"/>
      <c r="J1907" s="1"/>
      <c r="K1907" s="2"/>
    </row>
    <row r="1908" spans="1:11" ht="78.75" x14ac:dyDescent="0.25">
      <c r="A1908" s="1" t="str">
        <f>"478/2014"</f>
        <v>478/2014</v>
      </c>
      <c r="B1908" s="1" t="s">
        <v>14</v>
      </c>
      <c r="C1908" s="1" t="s">
        <v>826</v>
      </c>
      <c r="D1908" s="1" t="str">
        <f>CONCATENATE("2014-2178",CHAR(10),"2014/S 002-0017762 od 4.4.2014 te ispravak br. 2014/S 014-0025086 od 20.05.2014.")</f>
        <v>2014-2178
2014/S 002-0017762 od 4.4.2014 te ispravak br. 2014/S 014-0025086 od 20.05.2014.</v>
      </c>
      <c r="E1908" s="1" t="s">
        <v>15</v>
      </c>
      <c r="F1908" s="1" t="s">
        <v>827</v>
      </c>
      <c r="G1908" s="1" t="str">
        <f>CONCATENATE("28.08.2014.",CHAR(10),"60 mjeseci")</f>
        <v>28.08.2014.
60 mjeseci</v>
      </c>
      <c r="H1908" s="1" t="str">
        <f>CONCATENATE("RAIFFEISEN LEASING D.O.O., ZAGREB")</f>
        <v>RAIFFEISEN LEASING D.O.O., ZAGREB</v>
      </c>
      <c r="I1908" s="2"/>
      <c r="J1908" s="1"/>
      <c r="K1908" s="1" t="s">
        <v>607</v>
      </c>
    </row>
    <row r="1909" spans="1:11" ht="63" x14ac:dyDescent="0.25">
      <c r="A1909" s="1" t="str">
        <f>"479/2014"</f>
        <v>479/2014</v>
      </c>
      <c r="B1909" s="1" t="s">
        <v>136</v>
      </c>
      <c r="C1909" s="1" t="s">
        <v>828</v>
      </c>
      <c r="D1909" s="1" t="str">
        <f>CONCATENATE("2014-215",CHAR(10),"2014/S 002-0029330 od 12.06.2014.")</f>
        <v>2014-215
2014/S 002-0029330 od 12.06.2014.</v>
      </c>
      <c r="E1909" s="1" t="s">
        <v>366</v>
      </c>
      <c r="F1909" s="1" t="str">
        <f>"594.477,00"</f>
        <v>594.477,00</v>
      </c>
      <c r="G1909" s="1" t="str">
        <f>CONCATENATE("28.08.2014.",CHAR(10),"2 godine")</f>
        <v>28.08.2014.
2 godine</v>
      </c>
      <c r="H1909" s="1" t="str">
        <f>CONCATENATE("1. Zajednica ponuditelja: ",CHAR(10),"    SMIT COMMERCE D.O.O., GORNJI STUPNIK",CHAR(10),"    VODOSKOK D.D., ZAGREB")</f>
        <v>1. Zajednica ponuditelja: 
    SMIT COMMERCE D.O.O., GORNJI STUPNIK
    VODOSKOK D.D., ZAGREB</v>
      </c>
      <c r="I1909" s="2"/>
      <c r="J1909" s="1"/>
      <c r="K1909" s="1" t="s">
        <v>607</v>
      </c>
    </row>
    <row r="1910" spans="1:11" ht="47.25" x14ac:dyDescent="0.25">
      <c r="A1910" s="1" t="str">
        <f>"481/2014"</f>
        <v>481/2014</v>
      </c>
      <c r="B1910" s="1" t="s">
        <v>14</v>
      </c>
      <c r="C1910" s="1" t="s">
        <v>829</v>
      </c>
      <c r="D1910" s="1" t="str">
        <f>CONCATENATE("1378-2014-EMV",CHAR(10),"2014/S 002-0026910 od 30.05.2014.")</f>
        <v>1378-2014-EMV
2014/S 002-0026910 od 30.05.2014.</v>
      </c>
      <c r="E1910" s="1" t="s">
        <v>15</v>
      </c>
      <c r="F1910" s="1" t="str">
        <f>"413.559,39"</f>
        <v>413.559,39</v>
      </c>
      <c r="G1910" s="1" t="str">
        <f>CONCATENATE("02.09.2014.",CHAR(10),"60 dana računajući od dana uvođenja u posao")</f>
        <v>02.09.2014.
60 dana računajući od dana uvođenja u posao</v>
      </c>
      <c r="H1910" s="1" t="str">
        <f>CONCATENATE("M. SOLDO D.O.O., ZAGREB")</f>
        <v>M. SOLDO D.O.O., ZAGREB</v>
      </c>
      <c r="I1910" s="2"/>
      <c r="J1910" s="1"/>
      <c r="K1910" s="2"/>
    </row>
    <row r="1911" spans="1:11" ht="78.75" x14ac:dyDescent="0.25">
      <c r="A1911" s="1" t="str">
        <f>"482/2014"</f>
        <v>482/2014</v>
      </c>
      <c r="B1911" s="1" t="s">
        <v>14</v>
      </c>
      <c r="C1911" s="1" t="s">
        <v>830</v>
      </c>
      <c r="D1911" s="1" t="str">
        <f>CONCATENATE("1333-2014-EMV",CHAR(10),"2014/S 015-0035615 od 22.07.2014.")</f>
        <v>1333-2014-EMV
2014/S 015-0035615 od 22.07.2014.</v>
      </c>
      <c r="E1911" s="1" t="s">
        <v>12</v>
      </c>
      <c r="F1911" s="1" t="str">
        <f>"709.123,89"</f>
        <v>709.123,89</v>
      </c>
      <c r="G1911" s="1" t="str">
        <f>CONCATENATE("29.08.2014.",CHAR(10),"30 dana od dana uvođenja u posao")</f>
        <v>29.08.2014.
30 dana od dana uvođenja u posao</v>
      </c>
      <c r="H1911" s="1" t="str">
        <f>CONCATENATE("HEP-OPERATOR DISTRIBUCIJSKOG SUSTAVA D.O.O., ZAGREB")</f>
        <v>HEP-OPERATOR DISTRIBUCIJSKOG SUSTAVA D.O.O., ZAGREB</v>
      </c>
      <c r="I1911" s="2"/>
      <c r="J1911" s="1"/>
      <c r="K1911" s="2"/>
    </row>
    <row r="1912" spans="1:11" ht="47.25" x14ac:dyDescent="0.25">
      <c r="A1912" s="1" t="str">
        <f>"483/2014"</f>
        <v>483/2014</v>
      </c>
      <c r="B1912" s="1" t="s">
        <v>14</v>
      </c>
      <c r="C1912" s="1" t="s">
        <v>831</v>
      </c>
      <c r="D1912" s="1" t="str">
        <f>CONCATENATE("239-2014-EMV",CHAR(10),"2014/S 002-0027475 od 03.06.2014.")</f>
        <v>239-2014-EMV
2014/S 002-0027475 od 03.06.2014.</v>
      </c>
      <c r="E1912" s="1" t="s">
        <v>15</v>
      </c>
      <c r="F1912" s="1" t="str">
        <f>"399.800,39"</f>
        <v>399.800,39</v>
      </c>
      <c r="G1912" s="1" t="str">
        <f>CONCATENATE("01.09.2014.",CHAR(10),"12 mjeseci")</f>
        <v>01.09.2014.
12 mjeseci</v>
      </c>
      <c r="H1912" s="1" t="str">
        <f>CONCATENATE("COMBIS D.O.O., ZAGREB")</f>
        <v>COMBIS D.O.O., ZAGREB</v>
      </c>
      <c r="I1912" s="1" t="s">
        <v>453</v>
      </c>
      <c r="J1912" s="1" t="str">
        <f>SUBSTITUTE(SUBSTITUTE(SUBSTITUTE("499,750.49",".","-"),",","."),"-",",")</f>
        <v>499.750,49</v>
      </c>
      <c r="K1912" s="2"/>
    </row>
    <row r="1913" spans="1:11" ht="47.25" x14ac:dyDescent="0.25">
      <c r="A1913" s="1" t="str">
        <f>"486/2014"</f>
        <v>486/2014</v>
      </c>
      <c r="B1913" s="1" t="s">
        <v>14</v>
      </c>
      <c r="C1913" s="1" t="s">
        <v>832</v>
      </c>
      <c r="D1913" s="1" t="str">
        <f>CONCATENATE("911-2014-EMV",CHAR(10),"2014/S 002-0030514 od 20.06.2014.")</f>
        <v>911-2014-EMV
2014/S 002-0030514 od 20.06.2014.</v>
      </c>
      <c r="E1913" s="1" t="s">
        <v>15</v>
      </c>
      <c r="F1913" s="1" t="str">
        <f>"2.578.266,00"</f>
        <v>2.578.266,00</v>
      </c>
      <c r="G1913" s="1" t="str">
        <f>CONCATENATE("03.09.2014.",CHAR(10),"120 dana od dana uvođenja u posao")</f>
        <v>03.09.2014.
120 dana od dana uvođenja u posao</v>
      </c>
      <c r="H1913" s="1" t="str">
        <f>CONCATENATE("1. Zajednica ponuditelja: ",CHAR(10),"    SPEGRA INŽENJERING D.O.O., SPLIT",CHAR(10),"    VIADUKT D.D., ZAGREB")</f>
        <v>1. Zajednica ponuditelja: 
    SPEGRA INŽENJERING D.O.O., SPLIT
    VIADUKT D.D., ZAGREB</v>
      </c>
      <c r="I1913" s="2"/>
      <c r="J1913" s="1"/>
      <c r="K1913" s="2"/>
    </row>
    <row r="1914" spans="1:11" ht="47.25" x14ac:dyDescent="0.25">
      <c r="A1914" s="1" t="str">
        <f>"487/2014"</f>
        <v>487/2014</v>
      </c>
      <c r="B1914" s="1" t="s">
        <v>14</v>
      </c>
      <c r="C1914" s="1" t="s">
        <v>833</v>
      </c>
      <c r="D1914" s="1" t="str">
        <f>CONCATENATE("2014-2067",CHAR(10),"2014/S 002-0027957 od 05.06.2014.")</f>
        <v>2014-2067
2014/S 002-0027957 od 05.06.2014.</v>
      </c>
      <c r="E1914" s="1" t="s">
        <v>15</v>
      </c>
      <c r="F1914" s="1" t="str">
        <f>"1.180.460,00"</f>
        <v>1.180.460,00</v>
      </c>
      <c r="G1914" s="1" t="str">
        <f>CONCATENATE("03.09.2014.",CHAR(10),"90 dana od dana uvođenja u posao")</f>
        <v>03.09.2014.
90 dana od dana uvođenja u posao</v>
      </c>
      <c r="H1914" s="1" t="str">
        <f>CONCATENATE("1. Zajednica ponuditelja: ",CHAR(10),"    INSTAL-PROM D.O.O., ZAGREB",CHAR(10),"    GEO 6 D.O.O, ZAGREB-SUSEDGRAD")</f>
        <v>1. Zajednica ponuditelja: 
    INSTAL-PROM D.O.O., ZAGREB
    GEO 6 D.O.O, ZAGREB-SUSEDGRAD</v>
      </c>
      <c r="I1914" s="2"/>
      <c r="J1914" s="1"/>
      <c r="K1914" s="1" t="s">
        <v>607</v>
      </c>
    </row>
    <row r="1915" spans="1:11" ht="63" x14ac:dyDescent="0.25">
      <c r="A1915" s="1" t="str">
        <f>"488/2014"</f>
        <v>488/2014</v>
      </c>
      <c r="B1915" s="1" t="s">
        <v>136</v>
      </c>
      <c r="C1915" s="1" t="s">
        <v>834</v>
      </c>
      <c r="D1915" s="1" t="str">
        <f>CONCATENATE("2014-31",CHAR(10),"2014/S-002-0024094 od 14.05.2014.")</f>
        <v>2014-31
2014/S-002-0024094 od 14.05.2014.</v>
      </c>
      <c r="E1915" s="1" t="s">
        <v>366</v>
      </c>
      <c r="F1915" s="1" t="str">
        <f>"1.130.062,00"</f>
        <v>1.130.062,00</v>
      </c>
      <c r="G1915" s="1" t="str">
        <f>CONCATENATE("03.09.2014.",CHAR(10),"2 godine")</f>
        <v>03.09.2014.
2 godine</v>
      </c>
      <c r="H1915" s="1" t="str">
        <f>CONCATENATE("ŠKOLA ZA CESTOVNI PROMET, ZAGREB",CHAR(10),"PUČKO OTVORENO UČILIŠTE INVICTUS, ZAGREB")</f>
        <v>ŠKOLA ZA CESTOVNI PROMET, ZAGREB
PUČKO OTVORENO UČILIŠTE INVICTUS, ZAGREB</v>
      </c>
      <c r="I1915" s="2"/>
      <c r="J1915" s="1"/>
      <c r="K1915" s="1" t="s">
        <v>607</v>
      </c>
    </row>
    <row r="1916" spans="1:11" ht="47.25" x14ac:dyDescent="0.25">
      <c r="A1916" s="1" t="str">
        <f>"489/2014"</f>
        <v>489/2014</v>
      </c>
      <c r="B1916" s="1" t="s">
        <v>14</v>
      </c>
      <c r="C1916" s="1" t="s">
        <v>835</v>
      </c>
      <c r="D1916" s="1" t="str">
        <f>CONCATENATE("1421-2014-EMV",CHAR(10),"2014/S-002-0015010 od 25.03.2014.")</f>
        <v>1421-2014-EMV
2014/S-002-0015010 od 25.03.2014.</v>
      </c>
      <c r="E1916" s="1" t="s">
        <v>15</v>
      </c>
      <c r="F1916" s="1" t="str">
        <f>"972.350,00"</f>
        <v>972.350,00</v>
      </c>
      <c r="G1916" s="1" t="str">
        <f>CONCATENATE("03.09.2014.",CHAR(10),"12 mjeseci od dana obostranog potpisa Ugovora")</f>
        <v>03.09.2014.
12 mjeseci od dana obostranog potpisa Ugovora</v>
      </c>
      <c r="H1916" s="1" t="str">
        <f>CONCATENATE("1. Zajednica ponuditelja: ",CHAR(10),"    BINĐO D.O.O., IVANIĆ-GRAD",CHAR(10),"    AMBIJENTI D.O.O., ČAKOVEC")</f>
        <v>1. Zajednica ponuditelja: 
    BINĐO D.O.O., IVANIĆ-GRAD
    AMBIJENTI D.O.O., ČAKOVEC</v>
      </c>
      <c r="I1916" s="2"/>
      <c r="J1916" s="1"/>
      <c r="K1916" s="2"/>
    </row>
    <row r="1917" spans="1:11" ht="47.25" x14ac:dyDescent="0.25">
      <c r="A1917" s="1" t="str">
        <f>"490/2014"</f>
        <v>490/2014</v>
      </c>
      <c r="B1917" s="1" t="s">
        <v>136</v>
      </c>
      <c r="C1917" s="1" t="s">
        <v>836</v>
      </c>
      <c r="D1917" s="1" t="str">
        <f>CONCATENATE("2014-2263",CHAR(10),"2014/S 002-0025609 od 22.05.2014.")</f>
        <v>2014-2263
2014/S 002-0025609 od 22.05.2014.</v>
      </c>
      <c r="E1917" s="1" t="s">
        <v>366</v>
      </c>
      <c r="F1917" s="1" t="str">
        <f>"7.293.126,25"</f>
        <v>7.293.126,25</v>
      </c>
      <c r="G1917" s="1" t="str">
        <f>CONCATENATE("29.08.2014.",CHAR(10),"2 godine")</f>
        <v>29.08.2014.
2 godine</v>
      </c>
      <c r="H1917" s="1" t="str">
        <f>CONCATENATE("1. Zajednica ponuditelja: ",CHAR(10),"    KOM-EKO D.O.O., ZAGREB",CHAR(10),"    V.M.Z. D.O.O., ZAGREB")</f>
        <v>1. Zajednica ponuditelja: 
    KOM-EKO D.O.O., ZAGREB
    V.M.Z. D.O.O., ZAGREB</v>
      </c>
      <c r="I1917" s="2"/>
      <c r="J1917" s="1"/>
      <c r="K1917" s="1" t="s">
        <v>607</v>
      </c>
    </row>
    <row r="1918" spans="1:11" ht="63" x14ac:dyDescent="0.25">
      <c r="A1918" s="1" t="str">
        <f>"493/2014"</f>
        <v>493/2014</v>
      </c>
      <c r="B1918" s="1" t="s">
        <v>14</v>
      </c>
      <c r="C1918" s="1" t="s">
        <v>837</v>
      </c>
      <c r="D1918" s="1" t="str">
        <f>CONCATENATE("2014-2125",CHAR(10),"2014/S 002-0029887 od 10.07.2014.")</f>
        <v>2014-2125
2014/S 002-0029887 od 10.07.2014.</v>
      </c>
      <c r="E1918" s="1" t="s">
        <v>15</v>
      </c>
      <c r="F1918" s="1" t="str">
        <f>"1.474.734,00"</f>
        <v>1.474.734,00</v>
      </c>
      <c r="G1918" s="1" t="str">
        <f>CONCATENATE("03.09.2014.",CHAR(10),"150 dana od dana obostranog potpisa Ugovora i dana uvođenja u posao")</f>
        <v>03.09.2014.
150 dana od dana obostranog potpisa Ugovora i dana uvođenja u posao</v>
      </c>
      <c r="H1918" s="1" t="str">
        <f>CONCATENATE("1. Zajednica ponuditelja: ",CHAR(10),"    INSTAL-PROM D.O.O., ZAGREB",CHAR(10),"    GEO 6 D.O.O, ZAGREB-SUSEDGRAD",CHAR(10),"    BRAUCO D.O.O., ZAGREB")</f>
        <v>1. Zajednica ponuditelja: 
    INSTAL-PROM D.O.O., ZAGREB
    GEO 6 D.O.O, ZAGREB-SUSEDGRAD
    BRAUCO D.O.O., ZAGREB</v>
      </c>
      <c r="I1918" s="2"/>
      <c r="J1918" s="1"/>
      <c r="K1918" s="1" t="s">
        <v>607</v>
      </c>
    </row>
    <row r="1919" spans="1:11" ht="47.25" x14ac:dyDescent="0.25">
      <c r="A1919" s="1" t="str">
        <f>"495/2014"</f>
        <v>495/2014</v>
      </c>
      <c r="B1919" s="1" t="s">
        <v>136</v>
      </c>
      <c r="C1919" s="1" t="s">
        <v>838</v>
      </c>
      <c r="D1919" s="1" t="str">
        <f>CONCATENATE("2014-1094",CHAR(10),"2014/S-002-0031239 od 26.06.2014.")</f>
        <v>2014-1094
2014/S-002-0031239 od 26.06.2014.</v>
      </c>
      <c r="E1919" s="1" t="s">
        <v>366</v>
      </c>
      <c r="F1919" s="1" t="str">
        <f>"1.180.000,00"</f>
        <v>1.180.000,00</v>
      </c>
      <c r="G1919" s="1" t="str">
        <f>CONCATENATE("04.09.2014.",CHAR(10),"2 godine")</f>
        <v>04.09.2014.
2 godine</v>
      </c>
      <c r="H1919" s="1" t="str">
        <f>CONCATENATE("PARK D.O.O., KRIŽEVCI",CHAR(10),"GUT D.O.O., ZAGREB")</f>
        <v>PARK D.O.O., KRIŽEVCI
GUT D.O.O., ZAGREB</v>
      </c>
      <c r="I1919" s="2"/>
      <c r="J1919" s="1"/>
      <c r="K1919" s="1" t="s">
        <v>607</v>
      </c>
    </row>
    <row r="1920" spans="1:11" ht="47.25" x14ac:dyDescent="0.25">
      <c r="A1920" s="1" t="str">
        <f>"496/2014"</f>
        <v>496/2014</v>
      </c>
      <c r="B1920" s="1" t="s">
        <v>14</v>
      </c>
      <c r="C1920" s="1" t="s">
        <v>839</v>
      </c>
      <c r="D1920" s="1" t="str">
        <f>CONCATENATE("2014-2314",CHAR(10),"2014/S 002-0031507 od 30.06.2014.")</f>
        <v>2014-2314
2014/S 002-0031507 od 30.06.2014.</v>
      </c>
      <c r="E1920" s="1" t="s">
        <v>15</v>
      </c>
      <c r="F1920" s="1" t="str">
        <f>"234.600,00"</f>
        <v>234.600,00</v>
      </c>
      <c r="G1920" s="1" t="str">
        <f>CONCATENATE("04.09.2014.",CHAR(10),"1 godina od nastanka ugovornog odnosa")</f>
        <v>04.09.2014.
1 godina od nastanka ugovornog odnosa</v>
      </c>
      <c r="H1920" s="1" t="str">
        <f>CONCATENATE("VON-TRGOVINA D.O.O., ZAGREB")</f>
        <v>VON-TRGOVINA D.O.O., ZAGREB</v>
      </c>
      <c r="I1920" s="2"/>
      <c r="J1920" s="1"/>
      <c r="K1920" s="1" t="s">
        <v>607</v>
      </c>
    </row>
    <row r="1921" spans="1:11" ht="47.25" x14ac:dyDescent="0.25">
      <c r="A1921" s="1" t="str">
        <f>"497/2014"</f>
        <v>497/2014</v>
      </c>
      <c r="B1921" s="1" t="s">
        <v>136</v>
      </c>
      <c r="C1921" s="1" t="s">
        <v>840</v>
      </c>
      <c r="D1921" s="1" t="str">
        <f>CONCATENATE("2014-2209",CHAR(10),"2014/S 002-0023903 od 14.05.2014.")</f>
        <v>2014-2209
2014/S 002-0023903 od 14.05.2014.</v>
      </c>
      <c r="E1921" s="1" t="s">
        <v>366</v>
      </c>
      <c r="F1921" s="1" t="str">
        <f>"756.430,00"</f>
        <v>756.430,00</v>
      </c>
      <c r="G1921" s="1" t="str">
        <f>CONCATENATE("04.09.2014.",CHAR(10),"2 godine")</f>
        <v>04.09.2014.
2 godine</v>
      </c>
      <c r="H1921" s="1" t="str">
        <f>CONCATENATE("C W G D.O.O., ZAGREB")</f>
        <v>C W G D.O.O., ZAGREB</v>
      </c>
      <c r="I1921" s="2"/>
      <c r="J1921" s="1"/>
      <c r="K1921" s="1" t="s">
        <v>607</v>
      </c>
    </row>
    <row r="1922" spans="1:11" ht="47.25" x14ac:dyDescent="0.25">
      <c r="A1922" s="1" t="str">
        <f>"498/2014"</f>
        <v>498/2014</v>
      </c>
      <c r="B1922" s="1" t="s">
        <v>14</v>
      </c>
      <c r="C1922" s="1" t="s">
        <v>841</v>
      </c>
      <c r="D1922" s="1" t="str">
        <f>CONCATENATE("2014-1934",CHAR(10),"2014/S 002-0033907 od 11.07.2014.")</f>
        <v>2014-1934
2014/S 002-0033907 od 11.07.2014.</v>
      </c>
      <c r="E1922" s="1" t="s">
        <v>15</v>
      </c>
      <c r="F1922" s="1" t="str">
        <f>"513.500,00"</f>
        <v>513.500,00</v>
      </c>
      <c r="G1922" s="1" t="str">
        <f>CONCATENATE("04.09.2014.",CHAR(10),"1 godina od nastanka ugovornog odnosa")</f>
        <v>04.09.2014.
1 godina od nastanka ugovornog odnosa</v>
      </c>
      <c r="H1922" s="1" t="str">
        <f>CONCATENATE("AQUA INŽENJERING D.O.O., SESVETE")</f>
        <v>AQUA INŽENJERING D.O.O., SESVETE</v>
      </c>
      <c r="I1922" s="2"/>
      <c r="J1922" s="1"/>
      <c r="K1922" s="1" t="s">
        <v>607</v>
      </c>
    </row>
    <row r="1923" spans="1:11" ht="47.25" x14ac:dyDescent="0.25">
      <c r="A1923" s="1" t="str">
        <f>"499/2014"</f>
        <v>499/2014</v>
      </c>
      <c r="B1923" s="1" t="s">
        <v>14</v>
      </c>
      <c r="C1923" s="1" t="s">
        <v>842</v>
      </c>
      <c r="D1923" s="1" t="str">
        <f>CONCATENATE("462-2014-EMV",CHAR(10),"2014/S 015-0039014 od 13.08.2014.")</f>
        <v>462-2014-EMV
2014/S 015-0039014 od 13.08.2014.</v>
      </c>
      <c r="E1923" s="1" t="s">
        <v>40</v>
      </c>
      <c r="F1923" s="1" t="str">
        <f>"23.400,00"</f>
        <v>23.400,00</v>
      </c>
      <c r="G1923" s="1" t="str">
        <f>CONCATENATE("04.09.2014.",CHAR(10),"12 mjeseci od dana obostranog potpisa Ugovora")</f>
        <v>04.09.2014.
12 mjeseci od dana obostranog potpisa Ugovora</v>
      </c>
      <c r="H1923" s="1" t="str">
        <f>CONCATENATE("BILIĆ-ERIĆ D.O.O., SESVETE")</f>
        <v>BILIĆ-ERIĆ D.O.O., SESVETE</v>
      </c>
      <c r="I1923" s="2"/>
      <c r="J1923" s="1"/>
      <c r="K1923" s="2"/>
    </row>
    <row r="1924" spans="1:11" ht="47.25" x14ac:dyDescent="0.25">
      <c r="A1924" s="1" t="str">
        <f>"500/2014"</f>
        <v>500/2014</v>
      </c>
      <c r="B1924" s="1" t="s">
        <v>14</v>
      </c>
      <c r="C1924" s="1" t="s">
        <v>843</v>
      </c>
      <c r="D1924" s="1" t="str">
        <f>CONCATENATE("462-2014-EMV",CHAR(10),"2014/S 015-0039014 od 13.08.2014.")</f>
        <v>462-2014-EMV
2014/S 015-0039014 od 13.08.2014.</v>
      </c>
      <c r="E1924" s="1" t="s">
        <v>40</v>
      </c>
      <c r="F1924" s="1" t="str">
        <f>"78.000,00"</f>
        <v>78.000,00</v>
      </c>
      <c r="G1924" s="1" t="str">
        <f>CONCATENATE("04.09.2014.",CHAR(10),"12 mjeseci od dana obostranog potpisa Ugovora")</f>
        <v>04.09.2014.
12 mjeseci od dana obostranog potpisa Ugovora</v>
      </c>
      <c r="H1924" s="1" t="str">
        <f>CONCATENATE("BILIĆ-ERIĆ D.O.O., SESVETE")</f>
        <v>BILIĆ-ERIĆ D.O.O., SESVETE</v>
      </c>
      <c r="I1924" s="2"/>
      <c r="J1924" s="1"/>
      <c r="K1924" s="2"/>
    </row>
    <row r="1925" spans="1:11" ht="47.25" x14ac:dyDescent="0.25">
      <c r="A1925" s="1" t="str">
        <f>"501/2014"</f>
        <v>501/2014</v>
      </c>
      <c r="B1925" s="1" t="s">
        <v>14</v>
      </c>
      <c r="C1925" s="1" t="s">
        <v>844</v>
      </c>
      <c r="D1925" s="1" t="str">
        <f>CONCATENATE("462-2014-EMV",CHAR(10),"2014/S 015-0039014 od 13.08.2014.")</f>
        <v>462-2014-EMV
2014/S 015-0039014 od 13.08.2014.</v>
      </c>
      <c r="E1925" s="1" t="s">
        <v>40</v>
      </c>
      <c r="F1925" s="1" t="str">
        <f>"130.260,00"</f>
        <v>130.260,00</v>
      </c>
      <c r="G1925" s="1" t="str">
        <f>CONCATENATE("04.09.2014.",CHAR(10),"12 mjeseci od dana obostranog potpisa Ugovora")</f>
        <v>04.09.2014.
12 mjeseci od dana obostranog potpisa Ugovora</v>
      </c>
      <c r="H1925" s="1" t="str">
        <f>CONCATENATE("BILIĆ-ERIĆ D.O.O., SESVETE")</f>
        <v>BILIĆ-ERIĆ D.O.O., SESVETE</v>
      </c>
      <c r="I1925" s="2"/>
      <c r="J1925" s="1"/>
      <c r="K1925" s="2"/>
    </row>
    <row r="1926" spans="1:11" ht="78.75" x14ac:dyDescent="0.25">
      <c r="A1926" s="1" t="str">
        <f>"503/2014"</f>
        <v>503/2014</v>
      </c>
      <c r="B1926" s="1" t="s">
        <v>14</v>
      </c>
      <c r="C1926" s="1" t="s">
        <v>2830</v>
      </c>
      <c r="D1926" s="1" t="str">
        <f>CONCATENATE("2014-2291",CHAR(10),"2014/S 002-0026360 od 27.05.2014.")</f>
        <v>2014-2291
2014/S 002-0026360 od 27.05.2014.</v>
      </c>
      <c r="E1926" s="1" t="s">
        <v>15</v>
      </c>
      <c r="F1926" s="1" t="str">
        <f>"20.412.786,38"</f>
        <v>20.412.786,38</v>
      </c>
      <c r="G1926" s="1" t="str">
        <f>CONCATENATE("18.08.2014.",CHAR(10),"31.08.2019")</f>
        <v>18.08.2014.
31.08.2019</v>
      </c>
      <c r="H1926" s="1" t="str">
        <f>CONCATENATE("ZAGREBAČKA BANKA D.D., ZAGREB")</f>
        <v>ZAGREBAČKA BANKA D.D., ZAGREB</v>
      </c>
      <c r="I1926" s="2"/>
      <c r="J1926" s="1"/>
      <c r="K1926" s="1" t="s">
        <v>607</v>
      </c>
    </row>
    <row r="1927" spans="1:11" ht="78.75" x14ac:dyDescent="0.25">
      <c r="A1927" s="1" t="str">
        <f>"504/2014"</f>
        <v>504/2014</v>
      </c>
      <c r="B1927" s="1" t="s">
        <v>14</v>
      </c>
      <c r="C1927" s="1" t="s">
        <v>2831</v>
      </c>
      <c r="D1927" s="1" t="str">
        <f>CONCATENATE("2014-2291",CHAR(10),"2014/S 002-0026360 od 27.05.2014.")</f>
        <v>2014-2291
2014/S 002-0026360 od 27.05.2014.</v>
      </c>
      <c r="E1927" s="1" t="s">
        <v>15</v>
      </c>
      <c r="F1927" s="1" t="str">
        <f>"19.141.786,58"</f>
        <v>19.141.786,58</v>
      </c>
      <c r="G1927" s="1" t="str">
        <f>CONCATENATE("18.08.2014.",CHAR(10),"31.08.2019")</f>
        <v>18.08.2014.
31.08.2019</v>
      </c>
      <c r="H1927" s="1" t="str">
        <f>CONCATENATE("ERSTE&amp;STEIERMÄRKISCHE BANKA D.D., RIJEKA")</f>
        <v>ERSTE&amp;STEIERMÄRKISCHE BANKA D.D., RIJEKA</v>
      </c>
      <c r="I1927" s="2"/>
      <c r="J1927" s="1"/>
      <c r="K1927" s="1" t="s">
        <v>607</v>
      </c>
    </row>
    <row r="1928" spans="1:11" ht="78.75" x14ac:dyDescent="0.25">
      <c r="A1928" s="1" t="str">
        <f>"505/2014"</f>
        <v>505/2014</v>
      </c>
      <c r="B1928" s="1" t="s">
        <v>14</v>
      </c>
      <c r="C1928" s="1" t="s">
        <v>2832</v>
      </c>
      <c r="D1928" s="1" t="str">
        <f>CONCATENATE("2014-2291",CHAR(10),"2014/S 002-0026360 od 27.05.2014.")</f>
        <v>2014-2291
2014/S 002-0026360 od 27.05.2014.</v>
      </c>
      <c r="E1928" s="1" t="s">
        <v>15</v>
      </c>
      <c r="F1928" s="1" t="str">
        <f>"12.593.280,61"</f>
        <v>12.593.280,61</v>
      </c>
      <c r="G1928" s="1" t="str">
        <f>CONCATENATE("18.08.2014.",CHAR(10),"31.08.2019")</f>
        <v>18.08.2014.
31.08.2019</v>
      </c>
      <c r="H1928" s="1" t="str">
        <f>CONCATENATE("ERSTE&amp;STEIERMÄRKISCHE BANKA D.D., RIJEKA")</f>
        <v>ERSTE&amp;STEIERMÄRKISCHE BANKA D.D., RIJEKA</v>
      </c>
      <c r="I1928" s="2"/>
      <c r="J1928" s="1"/>
      <c r="K1928" s="1" t="s">
        <v>607</v>
      </c>
    </row>
    <row r="1929" spans="1:11" ht="63" x14ac:dyDescent="0.25">
      <c r="A1929" s="1" t="str">
        <f>"506/2014"</f>
        <v>506/2014</v>
      </c>
      <c r="B1929" s="1" t="s">
        <v>14</v>
      </c>
      <c r="C1929" s="1" t="s">
        <v>845</v>
      </c>
      <c r="D1929" s="1" t="str">
        <f>"2910-2014-EVV"</f>
        <v>2910-2014-EVV</v>
      </c>
      <c r="E1929" s="1" t="s">
        <v>12</v>
      </c>
      <c r="F1929" s="1" t="str">
        <f>"1.980.773,47"</f>
        <v>1.980.773,47</v>
      </c>
      <c r="G1929" s="1" t="str">
        <f>CONCATENATE("05.09.2014.",CHAR(10),"Odmah nakon obostranog potpisa Ugovora, a najkasnije do 25.08.2014")</f>
        <v>05.09.2014.
Odmah nakon obostranog potpisa Ugovora, a najkasnije do 25.08.2014</v>
      </c>
      <c r="H1929" s="1" t="str">
        <f>CONCATENATE("NAKLADA LJEVAK D.O.O., ZAGREB")</f>
        <v>NAKLADA LJEVAK D.O.O., ZAGREB</v>
      </c>
      <c r="I1929" s="1" t="s">
        <v>414</v>
      </c>
      <c r="J1929" s="1" t="str">
        <f>SUBSTITUTE(SUBSTITUTE(SUBSTITUTE("2,079,812.14",".","-"),",","."),"-",",")</f>
        <v>2.079.812,14</v>
      </c>
      <c r="K1929" s="2"/>
    </row>
    <row r="1930" spans="1:11" ht="63" x14ac:dyDescent="0.25">
      <c r="A1930" s="1" t="str">
        <f>"507/2014"</f>
        <v>507/2014</v>
      </c>
      <c r="B1930" s="1" t="s">
        <v>14</v>
      </c>
      <c r="C1930" s="1" t="s">
        <v>2833</v>
      </c>
      <c r="D1930" s="1" t="str">
        <f>CONCATENATE("2903-2014-EVV",CHAR(10),"2014/S 015-0039600 od 20.08.2014.")</f>
        <v>2903-2014-EVV
2014/S 015-0039600 od 20.08.2014.</v>
      </c>
      <c r="E1930" s="1" t="s">
        <v>12</v>
      </c>
      <c r="F1930" s="1" t="str">
        <f>"2.020.564,85"</f>
        <v>2.020.564,85</v>
      </c>
      <c r="G1930" s="1" t="str">
        <f>CONCATENATE("05.09.2014.",CHAR(10),"Odmah nakon obostranog potpisa Ugovora a najkasnije do 25.08.2014")</f>
        <v>05.09.2014.
Odmah nakon obostranog potpisa Ugovora a najkasnije do 25.08.2014</v>
      </c>
      <c r="H1930" s="1" t="str">
        <f>CONCATENATE("ALGORITAM D.O.O., ZAGREB")</f>
        <v>ALGORITAM D.O.O., ZAGREB</v>
      </c>
      <c r="I1930" s="1" t="s">
        <v>414</v>
      </c>
      <c r="J1930" s="1" t="str">
        <f>SUBSTITUTE(SUBSTITUTE(SUBSTITUTE("2,121,524.51",".","-"),",","."),"-",",")</f>
        <v>2.121.524,51</v>
      </c>
      <c r="K1930" s="2"/>
    </row>
    <row r="1931" spans="1:11" ht="47.25" x14ac:dyDescent="0.25">
      <c r="A1931" s="1" t="str">
        <f>"508/2014"</f>
        <v>508/2014</v>
      </c>
      <c r="B1931" s="1" t="s">
        <v>14</v>
      </c>
      <c r="C1931" s="1" t="s">
        <v>846</v>
      </c>
      <c r="D1931" s="1" t="str">
        <f>CONCATENATE("482-2014-EMV",CHAR(10),"2014/S 002-0027031 od 30.05.2014.")</f>
        <v>482-2014-EMV
2014/S 002-0027031 od 30.05.2014.</v>
      </c>
      <c r="E1931" s="1" t="s">
        <v>15</v>
      </c>
      <c r="F1931" s="1" t="str">
        <f>"533.890,00"</f>
        <v>533.890,00</v>
      </c>
      <c r="G1931" s="1" t="str">
        <f>CONCATENATE("08.09.2014.",CHAR(10),"45 dana od dana obostranog potpisa Ugovora")</f>
        <v>08.09.2014.
45 dana od dana obostranog potpisa Ugovora</v>
      </c>
      <c r="H1931" s="1" t="str">
        <f>CONCATENATE("OPREMA RADMAN D.O.O., ZAGREB-SLOBOŠTINA")</f>
        <v>OPREMA RADMAN D.O.O., ZAGREB-SLOBOŠTINA</v>
      </c>
      <c r="I1931" s="1" t="s">
        <v>128</v>
      </c>
      <c r="J1931" s="1" t="str">
        <f>SUBSTITUTE(SUBSTITUTE(SUBSTITUTE("653,993.75",".","-"),",","."),"-",",")</f>
        <v>653.993,75</v>
      </c>
      <c r="K1931" s="2"/>
    </row>
    <row r="1932" spans="1:11" ht="78.75" x14ac:dyDescent="0.25">
      <c r="A1932" s="1" t="str">
        <f>"509/2014"</f>
        <v>509/2014</v>
      </c>
      <c r="B1932" s="1" t="s">
        <v>136</v>
      </c>
      <c r="C1932" s="1" t="s">
        <v>847</v>
      </c>
      <c r="D1932" s="1" t="str">
        <f>CONCATENATE("2014-451",CHAR(10),"2014/S-002-0027631 od 03.06.2014.")</f>
        <v>2014-451
2014/S-002-0027631 od 03.06.2014.</v>
      </c>
      <c r="E1932" s="1" t="s">
        <v>366</v>
      </c>
      <c r="F1932" s="1" t="str">
        <f>"4.892.251,34"</f>
        <v>4.892.251,34</v>
      </c>
      <c r="G1932" s="1" t="str">
        <f>CONCATENATE("08.09.2014.",CHAR(10),"2 godine")</f>
        <v>08.09.2014.
2 godine</v>
      </c>
      <c r="H1932" s="1" t="str">
        <f>CONCATENATE("OMNIMERKUR D.O.O., GORNJI STUPNIK",CHAR(10),"DALEKOVOD PROIZVODNJA D.O.O., DUGO SELO",CHAR(10),"INDUSTROOPREMA D.O.O, ZAGREB")</f>
        <v>OMNIMERKUR D.O.O., GORNJI STUPNIK
DALEKOVOD PROIZVODNJA D.O.O., DUGO SELO
INDUSTROOPREMA D.O.O, ZAGREB</v>
      </c>
      <c r="I1932" s="2"/>
      <c r="J1932" s="1"/>
      <c r="K1932" s="1" t="s">
        <v>607</v>
      </c>
    </row>
    <row r="1933" spans="1:11" ht="63" x14ac:dyDescent="0.25">
      <c r="A1933" s="1" t="str">
        <f>"A-101/2014"</f>
        <v>A-101/2014</v>
      </c>
      <c r="B1933" s="1" t="s">
        <v>11</v>
      </c>
      <c r="C1933" s="1" t="s">
        <v>848</v>
      </c>
      <c r="D1933" s="1" t="str">
        <f>"EV-484-012/2011"</f>
        <v>EV-484-012/2011</v>
      </c>
      <c r="E1933" s="2"/>
      <c r="F1933" s="1" t="str">
        <f>"0,00"</f>
        <v>0,00</v>
      </c>
      <c r="G1933" s="1" t="str">
        <f>CONCATENATE("08.09.2014.",CHAR(10),"22.02.2015")</f>
        <v>08.09.2014.
22.02.2015</v>
      </c>
      <c r="H1933" s="1" t="str">
        <f>CONCATENATE("1. Zajednica ponuditelja: ",CHAR(10),"    HIDROCOMMERCE GRUPA D.O.O., ZAGREB",CHAR(10),"    GEODIST D.O.O., ZAGREB")</f>
        <v>1. Zajednica ponuditelja: 
    HIDROCOMMERCE GRUPA D.O.O., ZAGREB
    GEODIST D.O.O., ZAGREB</v>
      </c>
      <c r="I1933" s="2"/>
      <c r="J1933" s="1"/>
      <c r="K1933" s="2"/>
    </row>
    <row r="1934" spans="1:11" ht="47.25" x14ac:dyDescent="0.25">
      <c r="A1934" s="1" t="str">
        <f>"510/2014"</f>
        <v>510/2014</v>
      </c>
      <c r="B1934" s="1" t="s">
        <v>136</v>
      </c>
      <c r="C1934" s="1" t="s">
        <v>849</v>
      </c>
      <c r="D1934" s="1" t="str">
        <f>CONCATENATE("2014-2011",CHAR(10),"2014/S 002-0030542 od 20.06.2014.")</f>
        <v>2014-2011
2014/S 002-0030542 od 20.06.2014.</v>
      </c>
      <c r="E1934" s="1" t="s">
        <v>366</v>
      </c>
      <c r="F1934" s="1" t="str">
        <f>"1.946.576,35"</f>
        <v>1.946.576,35</v>
      </c>
      <c r="G1934" s="1" t="str">
        <f>CONCATENATE("08.09.2014.",CHAR(10),"2 godine")</f>
        <v>08.09.2014.
2 godine</v>
      </c>
      <c r="H1934" s="1" t="str">
        <f>CONCATENATE("GRADITELJ SVRATIŠTA D.O.O., ZAGREB")</f>
        <v>GRADITELJ SVRATIŠTA D.O.O., ZAGREB</v>
      </c>
      <c r="I1934" s="2"/>
      <c r="J1934" s="1"/>
      <c r="K1934" s="1" t="s">
        <v>607</v>
      </c>
    </row>
    <row r="1935" spans="1:11" ht="47.25" x14ac:dyDescent="0.25">
      <c r="A1935" s="1" t="str">
        <f>"511/2014"</f>
        <v>511/2014</v>
      </c>
      <c r="B1935" s="1" t="s">
        <v>14</v>
      </c>
      <c r="C1935" s="1" t="s">
        <v>850</v>
      </c>
      <c r="D1935" s="1" t="str">
        <f>CONCATENATE("2147-2014-EBV",CHAR(10),"2014/S 015-0039593 od 20.08.2014.")</f>
        <v>2147-2014-EBV
2014/S 015-0039593 od 20.08.2014.</v>
      </c>
      <c r="E1935" s="1" t="s">
        <v>12</v>
      </c>
      <c r="F1935" s="1" t="str">
        <f>"14.640,00"</f>
        <v>14.640,00</v>
      </c>
      <c r="G1935" s="1" t="str">
        <f>CONCATENATE("08.09.2014.",CHAR(10),"30 dana od dana uvođenja u posao")</f>
        <v>08.09.2014.
30 dana od dana uvođenja u posao</v>
      </c>
      <c r="H1935" s="1" t="str">
        <f>CONCATENATE("GEORAD D.O.O., ZAGREB")</f>
        <v>GEORAD D.O.O., ZAGREB</v>
      </c>
      <c r="I1935" s="1" t="s">
        <v>459</v>
      </c>
      <c r="J1935" s="1" t="str">
        <f>SUBSTITUTE(SUBSTITUTE(SUBSTITUTE("18,300.00",".","-"),",","."),"-",",")</f>
        <v>18.300,00</v>
      </c>
      <c r="K1935" s="2"/>
    </row>
    <row r="1936" spans="1:11" ht="47.25" x14ac:dyDescent="0.25">
      <c r="A1936" s="1" t="str">
        <f>"512/2014"</f>
        <v>512/2014</v>
      </c>
      <c r="B1936" s="1" t="s">
        <v>136</v>
      </c>
      <c r="C1936" s="1" t="s">
        <v>851</v>
      </c>
      <c r="D1936" s="1" t="str">
        <f>CONCATENATE("2014-1805",CHAR(10),"2014/S-002-0028930 od 10.06.2014.")</f>
        <v>2014-1805
2014/S-002-0028930 od 10.06.2014.</v>
      </c>
      <c r="E1936" s="1" t="s">
        <v>366</v>
      </c>
      <c r="F1936" s="1" t="str">
        <f>"3.939.259,61"</f>
        <v>3.939.259,61</v>
      </c>
      <c r="G1936" s="1" t="str">
        <f>CONCATENATE("09.09.2014.",CHAR(10),"1 godina")</f>
        <v>09.09.2014.
1 godina</v>
      </c>
      <c r="H1936" s="1" t="str">
        <f>CONCATENATE("AUTOBUS D.O.O., ZAGREB")</f>
        <v>AUTOBUS D.O.O., ZAGREB</v>
      </c>
      <c r="I1936" s="2"/>
      <c r="J1936" s="1"/>
      <c r="K1936" s="1" t="s">
        <v>607</v>
      </c>
    </row>
    <row r="1937" spans="1:11" ht="78.75" x14ac:dyDescent="0.25">
      <c r="A1937" s="1" t="str">
        <f>"513/2014"</f>
        <v>513/2014</v>
      </c>
      <c r="B1937" s="1" t="s">
        <v>14</v>
      </c>
      <c r="C1937" s="1" t="s">
        <v>852</v>
      </c>
      <c r="D1937" s="1" t="str">
        <f>CONCATENATE("2014-2183",CHAR(10),"2014/S-002-0017845 od 04.04.2014.")</f>
        <v>2014-2183
2014/S-002-0017845 od 04.04.2014.</v>
      </c>
      <c r="E1937" s="1" t="s">
        <v>15</v>
      </c>
      <c r="F1937" s="1" t="s">
        <v>853</v>
      </c>
      <c r="G1937" s="1" t="str">
        <f>CONCATENATE("09.09.2014.",CHAR(10),"60 mjeseci")</f>
        <v>09.09.2014.
60 mjeseci</v>
      </c>
      <c r="H1937" s="1" t="str">
        <f>CONCATENATE("ERSTE &amp; STEIERMÄRKISCHE S-LEASING D.O.O., ZAGREB")</f>
        <v>ERSTE &amp; STEIERMÄRKISCHE S-LEASING D.O.O., ZAGREB</v>
      </c>
      <c r="I1937" s="2"/>
      <c r="J1937" s="1"/>
      <c r="K1937" s="1" t="s">
        <v>607</v>
      </c>
    </row>
    <row r="1938" spans="1:11" ht="47.25" x14ac:dyDescent="0.25">
      <c r="A1938" s="1" t="str">
        <f>"514/2014"</f>
        <v>514/2014</v>
      </c>
      <c r="B1938" s="1" t="s">
        <v>14</v>
      </c>
      <c r="C1938" s="1" t="s">
        <v>854</v>
      </c>
      <c r="D1938" s="1" t="str">
        <f>CONCATENATE("457-2014-EMV",CHAR(10),"2014/S-002-0022427 od 05.05.2014.")</f>
        <v>457-2014-EMV
2014/S-002-0022427 od 05.05.2014.</v>
      </c>
      <c r="E1938" s="1" t="s">
        <v>15</v>
      </c>
      <c r="F1938" s="1" t="str">
        <f>"582.749,50"</f>
        <v>582.749,50</v>
      </c>
      <c r="G1938" s="1" t="str">
        <f>CONCATENATE("09.09.2014.",CHAR(10),"50 dana od dana uvođenja u posao")</f>
        <v>09.09.2014.
50 dana od dana uvođenja u posao</v>
      </c>
      <c r="H1938" s="1" t="str">
        <f>CONCATENATE("SPEKTAR GRADNJA D.O.O., ZAGREB")</f>
        <v>SPEKTAR GRADNJA D.O.O., ZAGREB</v>
      </c>
      <c r="I1938" s="2"/>
      <c r="J1938" s="1"/>
      <c r="K1938" s="2"/>
    </row>
    <row r="1939" spans="1:11" ht="63" x14ac:dyDescent="0.25">
      <c r="A1939" s="1" t="str">
        <f>"516/2014"</f>
        <v>516/2014</v>
      </c>
      <c r="B1939" s="1" t="s">
        <v>136</v>
      </c>
      <c r="C1939" s="1" t="s">
        <v>2834</v>
      </c>
      <c r="D1939" s="1" t="str">
        <f t="shared" ref="D1939:D1945" si="13">CONCATENATE("2014-2012",CHAR(10),"2014/S 002-0025377 od 21.05.2014.")</f>
        <v>2014-2012
2014/S 002-0025377 od 21.05.2014.</v>
      </c>
      <c r="E1939" s="1" t="s">
        <v>366</v>
      </c>
      <c r="F1939" s="1" t="str">
        <f>"959.415,67"</f>
        <v>959.415,67</v>
      </c>
      <c r="G1939" s="1" t="str">
        <f t="shared" ref="G1939:G1945" si="14">CONCATENATE("11.09.2014.",CHAR(10),"2 godine")</f>
        <v>11.09.2014.
2 godine</v>
      </c>
      <c r="H1939" s="1" t="str">
        <f>CONCATENATE("MB-ZAGREB D.O.O., ZAGREB")</f>
        <v>MB-ZAGREB D.O.O., ZAGREB</v>
      </c>
      <c r="I1939" s="2"/>
      <c r="J1939" s="1"/>
      <c r="K1939" s="1" t="s">
        <v>607</v>
      </c>
    </row>
    <row r="1940" spans="1:11" ht="63" x14ac:dyDescent="0.25">
      <c r="A1940" s="1" t="str">
        <f>"517/2014"</f>
        <v>517/2014</v>
      </c>
      <c r="B1940" s="1" t="s">
        <v>136</v>
      </c>
      <c r="C1940" s="1" t="s">
        <v>2835</v>
      </c>
      <c r="D1940" s="1" t="str">
        <f t="shared" si="13"/>
        <v>2014-2012
2014/S 002-0025377 od 21.05.2014.</v>
      </c>
      <c r="E1940" s="1" t="s">
        <v>366</v>
      </c>
      <c r="F1940" s="1" t="str">
        <f>"148.696,04"</f>
        <v>148.696,04</v>
      </c>
      <c r="G1940" s="1" t="str">
        <f t="shared" si="14"/>
        <v>11.09.2014.
2 godine</v>
      </c>
      <c r="H1940" s="1" t="str">
        <f>CONCATENATE("MB-ZAGREB D.O.O., ZAGREB")</f>
        <v>MB-ZAGREB D.O.O., ZAGREB</v>
      </c>
      <c r="I1940" s="2"/>
      <c r="J1940" s="1"/>
      <c r="K1940" s="1" t="s">
        <v>607</v>
      </c>
    </row>
    <row r="1941" spans="1:11" ht="63" x14ac:dyDescent="0.25">
      <c r="A1941" s="1" t="str">
        <f>"518/2014"</f>
        <v>518/2014</v>
      </c>
      <c r="B1941" s="1" t="s">
        <v>136</v>
      </c>
      <c r="C1941" s="1" t="s">
        <v>2836</v>
      </c>
      <c r="D1941" s="1" t="str">
        <f t="shared" si="13"/>
        <v>2014-2012
2014/S 002-0025377 od 21.05.2014.</v>
      </c>
      <c r="E1941" s="1" t="s">
        <v>366</v>
      </c>
      <c r="F1941" s="1" t="str">
        <f>"731.422,94"</f>
        <v>731.422,94</v>
      </c>
      <c r="G1941" s="1" t="str">
        <f t="shared" si="14"/>
        <v>11.09.2014.
2 godine</v>
      </c>
      <c r="H1941" s="1" t="str">
        <f>CONCATENATE("MB-ZAGREB D.O.O., ZAGREB")</f>
        <v>MB-ZAGREB D.O.O., ZAGREB</v>
      </c>
      <c r="I1941" s="2"/>
      <c r="J1941" s="1"/>
      <c r="K1941" s="1" t="s">
        <v>607</v>
      </c>
    </row>
    <row r="1942" spans="1:11" ht="63" x14ac:dyDescent="0.25">
      <c r="A1942" s="1" t="str">
        <f>"519/2014"</f>
        <v>519/2014</v>
      </c>
      <c r="B1942" s="1" t="s">
        <v>136</v>
      </c>
      <c r="C1942" s="1" t="s">
        <v>2837</v>
      </c>
      <c r="D1942" s="1" t="str">
        <f t="shared" si="13"/>
        <v>2014-2012
2014/S 002-0025377 od 21.05.2014.</v>
      </c>
      <c r="E1942" s="1" t="s">
        <v>366</v>
      </c>
      <c r="F1942" s="1" t="str">
        <f>"937.789,45"</f>
        <v>937.789,45</v>
      </c>
      <c r="G1942" s="1" t="str">
        <f t="shared" si="14"/>
        <v>11.09.2014.
2 godine</v>
      </c>
      <c r="H1942" s="1" t="str">
        <f>CONCATENATE("MB-ZAGREB D.O.O., ZAGREB")</f>
        <v>MB-ZAGREB D.O.O., ZAGREB</v>
      </c>
      <c r="I1942" s="2"/>
      <c r="J1942" s="1"/>
      <c r="K1942" s="1" t="s">
        <v>607</v>
      </c>
    </row>
    <row r="1943" spans="1:11" ht="78.75" x14ac:dyDescent="0.25">
      <c r="A1943" s="1" t="str">
        <f>"520/2014"</f>
        <v>520/2014</v>
      </c>
      <c r="B1943" s="1" t="s">
        <v>136</v>
      </c>
      <c r="C1943" s="1" t="s">
        <v>2838</v>
      </c>
      <c r="D1943" s="1" t="str">
        <f t="shared" si="13"/>
        <v>2014-2012
2014/S 002-0025377 od 21.05.2014.</v>
      </c>
      <c r="E1943" s="1" t="s">
        <v>366</v>
      </c>
      <c r="F1943" s="1" t="str">
        <f>"371.564,74"</f>
        <v>371.564,74</v>
      </c>
      <c r="G1943" s="1" t="str">
        <f t="shared" si="14"/>
        <v>11.09.2014.
2 godine</v>
      </c>
      <c r="H1943" s="1" t="str">
        <f>CONCATENATE("AUTO - MAG D.O.O., GORNJI STUPNIK")</f>
        <v>AUTO - MAG D.O.O., GORNJI STUPNIK</v>
      </c>
      <c r="I1943" s="2"/>
      <c r="J1943" s="1"/>
      <c r="K1943" s="1" t="s">
        <v>607</v>
      </c>
    </row>
    <row r="1944" spans="1:11" ht="63" x14ac:dyDescent="0.25">
      <c r="A1944" s="1" t="str">
        <f>"521/2014"</f>
        <v>521/2014</v>
      </c>
      <c r="B1944" s="1" t="s">
        <v>136</v>
      </c>
      <c r="C1944" s="1" t="s">
        <v>2839</v>
      </c>
      <c r="D1944" s="1" t="str">
        <f t="shared" si="13"/>
        <v>2014-2012
2014/S 002-0025377 od 21.05.2014.</v>
      </c>
      <c r="E1944" s="1" t="s">
        <v>366</v>
      </c>
      <c r="F1944" s="1" t="str">
        <f>"362.614,00"</f>
        <v>362.614,00</v>
      </c>
      <c r="G1944" s="1" t="str">
        <f t="shared" si="14"/>
        <v>11.09.2014.
2 godine</v>
      </c>
      <c r="H1944" s="1" t="str">
        <f>CONCATENATE("AUTO-SAFIR D.O.O., ZAGREB")</f>
        <v>AUTO-SAFIR D.O.O., ZAGREB</v>
      </c>
      <c r="I1944" s="2"/>
      <c r="J1944" s="1"/>
      <c r="K1944" s="1" t="s">
        <v>607</v>
      </c>
    </row>
    <row r="1945" spans="1:11" ht="78.75" x14ac:dyDescent="0.25">
      <c r="A1945" s="1" t="str">
        <f>"522/2014"</f>
        <v>522/2014</v>
      </c>
      <c r="B1945" s="1" t="s">
        <v>136</v>
      </c>
      <c r="C1945" s="1" t="s">
        <v>2840</v>
      </c>
      <c r="D1945" s="1" t="str">
        <f t="shared" si="13"/>
        <v>2014-2012
2014/S 002-0025377 od 21.05.2014.</v>
      </c>
      <c r="E1945" s="1" t="s">
        <v>366</v>
      </c>
      <c r="F1945" s="1" t="str">
        <f>"314.661,85"</f>
        <v>314.661,85</v>
      </c>
      <c r="G1945" s="1" t="str">
        <f t="shared" si="14"/>
        <v>11.09.2014.
2 godine</v>
      </c>
      <c r="H1945" s="1" t="str">
        <f>CONCATENATE("AUTO - MAG D.O.O., GORNJI STUPNIK")</f>
        <v>AUTO - MAG D.O.O., GORNJI STUPNIK</v>
      </c>
      <c r="I1945" s="2"/>
      <c r="J1945" s="1"/>
      <c r="K1945" s="1" t="s">
        <v>607</v>
      </c>
    </row>
    <row r="1946" spans="1:11" ht="47.25" x14ac:dyDescent="0.25">
      <c r="A1946" s="1" t="str">
        <f>"523/2014"</f>
        <v>523/2014</v>
      </c>
      <c r="B1946" s="1" t="s">
        <v>14</v>
      </c>
      <c r="C1946" s="1" t="s">
        <v>855</v>
      </c>
      <c r="D1946" s="1" t="str">
        <f>CONCATENATE("1220-2014-EMV",CHAR(10),"2014/S 002-0026363 od 27.05.2014.")</f>
        <v>1220-2014-EMV
2014/S 002-0026363 od 27.05.2014.</v>
      </c>
      <c r="E1946" s="1" t="s">
        <v>15</v>
      </c>
      <c r="F1946" s="1" t="str">
        <f>"399.802,00"</f>
        <v>399.802,00</v>
      </c>
      <c r="G1946" s="1" t="str">
        <f>CONCATENATE("11.09.2014.",CHAR(10),"3 mjeseca od dana uvođenja u posao")</f>
        <v>11.09.2014.
3 mjeseca od dana uvođenja u posao</v>
      </c>
      <c r="H1946" s="1" t="str">
        <f>CONCATENATE("1. Zajednica ponuditelja: ",CHAR(10),"    PUTAK GRADNJA D.O.O., ZAGREB",CHAR(10),"    C.I.A.K. D.O.O., ZAGREB")</f>
        <v>1. Zajednica ponuditelja: 
    PUTAK GRADNJA D.O.O., ZAGREB
    C.I.A.K. D.O.O., ZAGREB</v>
      </c>
      <c r="I1946" s="2"/>
      <c r="J1946" s="1"/>
      <c r="K1946" s="2"/>
    </row>
    <row r="1947" spans="1:11" ht="63" x14ac:dyDescent="0.25">
      <c r="A1947" s="1" t="str">
        <f>"A-102/2014"</f>
        <v>A-102/2014</v>
      </c>
      <c r="B1947" s="1" t="s">
        <v>11</v>
      </c>
      <c r="C1947" s="1" t="s">
        <v>856</v>
      </c>
      <c r="D1947" s="1" t="str">
        <f>"1335-2013-EMV"</f>
        <v>1335-2013-EMV</v>
      </c>
      <c r="E1947" s="2"/>
      <c r="F1947" s="1" t="str">
        <f>"0,00"</f>
        <v>0,00</v>
      </c>
      <c r="G1947" s="1" t="str">
        <f>CONCATENATE("10.09.2014.",CHAR(10),"30.11.2014")</f>
        <v>10.09.2014.
30.11.2014</v>
      </c>
      <c r="H1947" s="1" t="str">
        <f>CONCATENATE("PALIR D.O.O., ZAGREB")</f>
        <v>PALIR D.O.O., ZAGREB</v>
      </c>
      <c r="I1947" s="2"/>
      <c r="J1947" s="1"/>
      <c r="K1947" s="2"/>
    </row>
    <row r="1948" spans="1:11" ht="47.25" x14ac:dyDescent="0.25">
      <c r="A1948" s="1" t="str">
        <f>"524/2014"</f>
        <v>524/2014</v>
      </c>
      <c r="B1948" s="1" t="s">
        <v>136</v>
      </c>
      <c r="C1948" s="1" t="s">
        <v>857</v>
      </c>
      <c r="D1948" s="1" t="str">
        <f>CONCATENATE("2014-2250",CHAR(10),"2014/S 002-0032107 od 02.07.2014.")</f>
        <v>2014-2250
2014/S 002-0032107 od 02.07.2014.</v>
      </c>
      <c r="E1948" s="1" t="s">
        <v>366</v>
      </c>
      <c r="F1948" s="1" t="str">
        <f>"1.885.069,20"</f>
        <v>1.885.069,20</v>
      </c>
      <c r="G1948" s="1" t="str">
        <f>CONCATENATE("10.09.2014.",CHAR(10),"2 godine")</f>
        <v>10.09.2014.
2 godine</v>
      </c>
      <c r="H1948" s="1" t="str">
        <f>CONCATENATE("DOLENAC PROMET D.O.O., PETRINJA")</f>
        <v>DOLENAC PROMET D.O.O., PETRINJA</v>
      </c>
      <c r="I1948" s="2"/>
      <c r="J1948" s="1"/>
      <c r="K1948" s="1" t="s">
        <v>607</v>
      </c>
    </row>
    <row r="1949" spans="1:11" ht="78.75" x14ac:dyDescent="0.25">
      <c r="A1949" s="1" t="str">
        <f>"A-103/2014"</f>
        <v>A-103/2014</v>
      </c>
      <c r="B1949" s="1" t="s">
        <v>11</v>
      </c>
      <c r="C1949" s="1" t="s">
        <v>858</v>
      </c>
      <c r="D1949" s="1" t="str">
        <f>"1627-2013-EMV"</f>
        <v>1627-2013-EMV</v>
      </c>
      <c r="E1949" s="2"/>
      <c r="F1949" s="1" t="str">
        <f>"0,00"</f>
        <v>0,00</v>
      </c>
      <c r="G1949" s="1" t="str">
        <f>CONCATENATE("10.09.2014.",CHAR(10),"120 dana od dana obostranog potpisa Ugovora")</f>
        <v>10.09.2014.
120 dana od dana obostranog potpisa Ugovora</v>
      </c>
      <c r="H1949" s="1" t="str">
        <f>CONCATENATE("1. Zajednica ponuditelja: ",CHAR(10),"    BRODARSKI INSTITUT D.O.O., ZAGREB-NOVI ZAGREB",CHAR(10),"    FUNKCIONALNA CJELINA D.O.O., ZAGREB")</f>
        <v>1. Zajednica ponuditelja: 
    BRODARSKI INSTITUT D.O.O., ZAGREB-NOVI ZAGREB
    FUNKCIONALNA CJELINA D.O.O., ZAGREB</v>
      </c>
      <c r="I1949" s="2"/>
      <c r="J1949" s="1"/>
      <c r="K1949" s="2"/>
    </row>
    <row r="1950" spans="1:11" ht="47.25" x14ac:dyDescent="0.25">
      <c r="A1950" s="1" t="str">
        <f>"525/2014"</f>
        <v>525/2014</v>
      </c>
      <c r="B1950" s="1" t="s">
        <v>14</v>
      </c>
      <c r="C1950" s="1" t="s">
        <v>859</v>
      </c>
      <c r="D1950" s="1" t="str">
        <f>CONCATENATE("325-2014-EMV",CHAR(10),"2014/S 015-0040100 od 25.08.2014.")</f>
        <v>325-2014-EMV
2014/S 015-0040100 od 25.08.2014.</v>
      </c>
      <c r="E1950" s="1" t="s">
        <v>12</v>
      </c>
      <c r="F1950" s="1" t="str">
        <f>"701.619,80"</f>
        <v>701.619,80</v>
      </c>
      <c r="G1950" s="1" t="str">
        <f>CONCATENATE("10.09.2014.",CHAR(10),"12 mjeseci od dana obostranog potpisa Ugovora")</f>
        <v>10.09.2014.
12 mjeseci od dana obostranog potpisa Ugovora</v>
      </c>
      <c r="H1950" s="1" t="str">
        <f>CONCATENATE("NARODNE NOVINE D.D., ZAGREB")</f>
        <v>NARODNE NOVINE D.D., ZAGREB</v>
      </c>
      <c r="I1950" s="2"/>
      <c r="J1950" s="1"/>
      <c r="K1950" s="2"/>
    </row>
    <row r="1951" spans="1:11" ht="47.25" x14ac:dyDescent="0.25">
      <c r="A1951" s="1" t="str">
        <f>"527/2014"</f>
        <v>527/2014</v>
      </c>
      <c r="B1951" s="1" t="s">
        <v>26</v>
      </c>
      <c r="C1951" s="1" t="s">
        <v>2841</v>
      </c>
      <c r="D1951" s="1" t="str">
        <f>"3199-2012-EVV"</f>
        <v>3199-2012-EVV</v>
      </c>
      <c r="E1951" s="2"/>
      <c r="F1951" s="1" t="str">
        <f>"3.349.860,00"</f>
        <v>3.349.860,00</v>
      </c>
      <c r="G1951" s="1" t="str">
        <f>CONCATENATE("08.08.2014.",CHAR(10),"12 mjeseci od dana obostranog potpisa Ugovora")</f>
        <v>08.08.2014.
12 mjeseci od dana obostranog potpisa Ugovora</v>
      </c>
      <c r="H1951" s="1" t="str">
        <f>CONCATENATE("METRONET TELEKOMUNIKACIJE D.D., ZAGREB")</f>
        <v>METRONET TELEKOMUNIKACIJE D.D., ZAGREB</v>
      </c>
      <c r="I1951" s="2"/>
      <c r="J1951" s="1"/>
      <c r="K1951" s="2"/>
    </row>
    <row r="1952" spans="1:11" ht="47.25" x14ac:dyDescent="0.25">
      <c r="A1952" s="1" t="str">
        <f>"528/2014"</f>
        <v>528/2014</v>
      </c>
      <c r="B1952" s="1" t="s">
        <v>136</v>
      </c>
      <c r="C1952" s="1" t="s">
        <v>860</v>
      </c>
      <c r="D1952" s="1" t="str">
        <f>CONCATENATE("2014-1859",CHAR(10),"2014/S 002-0029799 od 15.06.2014.")</f>
        <v>2014-1859
2014/S 002-0029799 od 15.06.2014.</v>
      </c>
      <c r="E1952" s="1" t="s">
        <v>366</v>
      </c>
      <c r="F1952" s="1" t="str">
        <f>"8.178.036,23"</f>
        <v>8.178.036,23</v>
      </c>
      <c r="G1952" s="1" t="str">
        <f>CONCATENATE("15.09.2014.",CHAR(10),"2 godine")</f>
        <v>15.09.2014.
2 godine</v>
      </c>
      <c r="H1952" s="1" t="str">
        <f>CONCATENATE("KING ICT D.O.O., ZAGREB")</f>
        <v>KING ICT D.O.O., ZAGREB</v>
      </c>
      <c r="I1952" s="2"/>
      <c r="J1952" s="1"/>
      <c r="K1952" s="1" t="s">
        <v>607</v>
      </c>
    </row>
    <row r="1953" spans="1:11" ht="63" x14ac:dyDescent="0.25">
      <c r="A1953" s="1" t="str">
        <f>"529/2014"</f>
        <v>529/2014</v>
      </c>
      <c r="B1953" s="1" t="s">
        <v>136</v>
      </c>
      <c r="C1953" s="1" t="s">
        <v>2842</v>
      </c>
      <c r="D1953" s="1" t="str">
        <f>CONCATENATE("2014-2012",CHAR(10),"2014/S 002-0025377 od 21.05.2014.")</f>
        <v>2014-2012
2014/S 002-0025377 od 21.05.2014.</v>
      </c>
      <c r="E1953" s="1" t="s">
        <v>366</v>
      </c>
      <c r="F1953" s="1" t="str">
        <f>"430.944,03"</f>
        <v>430.944,03</v>
      </c>
      <c r="G1953" s="1" t="str">
        <f>CONCATENATE("15.09.2014.",CHAR(10),"2 godine")</f>
        <v>15.09.2014.
2 godine</v>
      </c>
      <c r="H1953" s="1" t="str">
        <f>CONCATENATE("STAR IMPORT D.O.O., ZAGREB-SUSEDGRAD")</f>
        <v>STAR IMPORT D.O.O., ZAGREB-SUSEDGRAD</v>
      </c>
      <c r="I1953" s="2"/>
      <c r="J1953" s="1"/>
      <c r="K1953" s="1" t="s">
        <v>607</v>
      </c>
    </row>
    <row r="1954" spans="1:11" ht="94.5" x14ac:dyDescent="0.25">
      <c r="A1954" s="1" t="str">
        <f>"530/2014"</f>
        <v>530/2014</v>
      </c>
      <c r="B1954" s="1" t="s">
        <v>26</v>
      </c>
      <c r="C1954" s="1" t="s">
        <v>861</v>
      </c>
      <c r="D1954" s="1" t="str">
        <f>"246-2014-EVV"</f>
        <v>246-2014-EVV</v>
      </c>
      <c r="E1954" s="2"/>
      <c r="F1954" s="1" t="str">
        <f>"1.980.000,00"</f>
        <v>1.980.000,00</v>
      </c>
      <c r="G1954" s="1" t="str">
        <f>CONCATENATE("16.09.2014.",CHAR(10),"12 mjeseci od dana obostranog potpisa Ugovora")</f>
        <v>16.09.2014.
12 mjeseci od dana obostranog potpisa Ugovora</v>
      </c>
      <c r="H1954" s="1" t="str">
        <f>CONCATENATE("IN2 D.O.O., ZAGREB")</f>
        <v>IN2 D.O.O., ZAGREB</v>
      </c>
      <c r="I1954" s="2"/>
      <c r="J1954" s="1"/>
      <c r="K1954" s="2"/>
    </row>
    <row r="1955" spans="1:11" ht="47.25" x14ac:dyDescent="0.25">
      <c r="A1955" s="1" t="str">
        <f>"531/2014"</f>
        <v>531/2014</v>
      </c>
      <c r="B1955" s="1" t="s">
        <v>26</v>
      </c>
      <c r="C1955" s="1" t="s">
        <v>862</v>
      </c>
      <c r="D1955" s="1" t="str">
        <f>"2336-2014-EMV"</f>
        <v>2336-2014-EMV</v>
      </c>
      <c r="E1955" s="2"/>
      <c r="F1955" s="1" t="str">
        <f>"474.500,00"</f>
        <v>474.500,00</v>
      </c>
      <c r="G1955" s="1" t="str">
        <f>CONCATENATE("15.09.2014.",CHAR(10),"12 mjeseci od dana obostranog potpisa Ugovora")</f>
        <v>15.09.2014.
12 mjeseci od dana obostranog potpisa Ugovora</v>
      </c>
      <c r="H1955" s="1" t="str">
        <f>CONCATENATE("KOM-EKO D.O.O., ZAGREB")</f>
        <v>KOM-EKO D.O.O., ZAGREB</v>
      </c>
      <c r="I1955" s="2"/>
      <c r="J1955" s="1"/>
      <c r="K1955" s="2"/>
    </row>
    <row r="1956" spans="1:11" ht="47.25" x14ac:dyDescent="0.25">
      <c r="A1956" s="1" t="str">
        <f>"532/2014"</f>
        <v>532/2014</v>
      </c>
      <c r="B1956" s="1" t="s">
        <v>14</v>
      </c>
      <c r="C1956" s="1" t="s">
        <v>863</v>
      </c>
      <c r="D1956" s="1" t="str">
        <f>CONCATENATE("2014-2093",CHAR(10),"2014/S-002-0024744 od 19.05.2014.")</f>
        <v>2014-2093
2014/S-002-0024744 od 19.05.2014.</v>
      </c>
      <c r="E1956" s="1" t="s">
        <v>15</v>
      </c>
      <c r="F1956" s="1" t="str">
        <f>"22.709.810,88"</f>
        <v>22.709.810,88</v>
      </c>
      <c r="G1956" s="1" t="str">
        <f>CONCATENATE("15.09.2014.",CHAR(10),"300 dana od dana uvođenja u posao")</f>
        <v>15.09.2014.
300 dana od dana uvođenja u posao</v>
      </c>
      <c r="H1956" s="1" t="str">
        <f>CONCATENATE("VODOTEHNIKA D.D., ZAGREB")</f>
        <v>VODOTEHNIKA D.D., ZAGREB</v>
      </c>
      <c r="I1956" s="2"/>
      <c r="J1956" s="1"/>
      <c r="K1956" s="1" t="s">
        <v>607</v>
      </c>
    </row>
    <row r="1957" spans="1:11" ht="78.75" x14ac:dyDescent="0.25">
      <c r="A1957" s="1" t="str">
        <f>"533/2014"</f>
        <v>533/2014</v>
      </c>
      <c r="B1957" s="1" t="s">
        <v>14</v>
      </c>
      <c r="C1957" s="1" t="s">
        <v>864</v>
      </c>
      <c r="D1957" s="1" t="str">
        <f>CONCATENATE("2014-2180",CHAR(10),"2014/S 002-0017805 od 04.04.2014.")</f>
        <v>2014-2180
2014/S 002-0017805 od 04.04.2014.</v>
      </c>
      <c r="E1957" s="1" t="s">
        <v>15</v>
      </c>
      <c r="F1957" s="1" t="s">
        <v>865</v>
      </c>
      <c r="G1957" s="1" t="str">
        <f>CONCATENATE("16.09.2014.",CHAR(10),"60 mjeseci od nastanka ugovornog odnosa")</f>
        <v>16.09.2014.
60 mjeseci od nastanka ugovornog odnosa</v>
      </c>
      <c r="H1957" s="1" t="str">
        <f>CONCATENATE("ERSTE &amp; STEIERMÄRKISCHE S-LEASING D.O.O., ZAGREB")</f>
        <v>ERSTE &amp; STEIERMÄRKISCHE S-LEASING D.O.O., ZAGREB</v>
      </c>
      <c r="I1957" s="2"/>
      <c r="J1957" s="1"/>
      <c r="K1957" s="1" t="s">
        <v>607</v>
      </c>
    </row>
    <row r="1958" spans="1:11" ht="78.75" x14ac:dyDescent="0.25">
      <c r="A1958" s="1" t="str">
        <f>"534/2014"</f>
        <v>534/2014</v>
      </c>
      <c r="B1958" s="1" t="s">
        <v>14</v>
      </c>
      <c r="C1958" s="1" t="s">
        <v>866</v>
      </c>
      <c r="D1958" s="1" t="str">
        <f>CONCATENATE("2014-2181",CHAR(10),"2014/S 002-0017853 od 04.04.2014.")</f>
        <v>2014-2181
2014/S 002-0017853 od 04.04.2014.</v>
      </c>
      <c r="E1958" s="1" t="s">
        <v>15</v>
      </c>
      <c r="F1958" s="1" t="s">
        <v>867</v>
      </c>
      <c r="G1958" s="1" t="str">
        <f>CONCATENATE("16.09.2014.",CHAR(10),"60 mjeseci od dana nastanka ugovornog odnosa")</f>
        <v>16.09.2014.
60 mjeseci od dana nastanka ugovornog odnosa</v>
      </c>
      <c r="H1958" s="1" t="str">
        <f>CONCATENATE("ERSTE &amp; STEIERMÄRKISCHE S-LEASING D.O.O., ZAGREB")</f>
        <v>ERSTE &amp; STEIERMÄRKISCHE S-LEASING D.O.O., ZAGREB</v>
      </c>
      <c r="I1958" s="2"/>
      <c r="J1958" s="1"/>
      <c r="K1958" s="1" t="s">
        <v>607</v>
      </c>
    </row>
    <row r="1959" spans="1:11" ht="47.25" x14ac:dyDescent="0.25">
      <c r="A1959" s="1" t="str">
        <f>"535/2014"</f>
        <v>535/2014</v>
      </c>
      <c r="B1959" s="1" t="s">
        <v>136</v>
      </c>
      <c r="C1959" s="1" t="s">
        <v>868</v>
      </c>
      <c r="D1959" s="1" t="str">
        <f>CONCATENATE("1292-2014-EMV",CHAR(10),"2014/S 002-0030618 od 20.06.2014.")</f>
        <v>1292-2014-EMV
2014/S 002-0030618 od 20.06.2014.</v>
      </c>
      <c r="E1959" s="1" t="s">
        <v>366</v>
      </c>
      <c r="F1959" s="1" t="str">
        <f>"1.487.547,00"</f>
        <v>1.487.547,00</v>
      </c>
      <c r="G1959" s="1" t="str">
        <f>CONCATENATE("16.09.2014.",CHAR(10),"2 godine")</f>
        <v>16.09.2014.
2 godine</v>
      </c>
      <c r="H1959" s="1" t="str">
        <f>CONCATENATE("URAR LEBAROVIĆ OBRT ZA PROIZVODNJU I POPRAVAK SATOVA VL. DALIBOR LEBAROVIĆ, ZAGREB")</f>
        <v>URAR LEBAROVIĆ OBRT ZA PROIZVODNJU I POPRAVAK SATOVA VL. DALIBOR LEBAROVIĆ, ZAGREB</v>
      </c>
      <c r="I1959" s="2"/>
      <c r="J1959" s="1"/>
      <c r="K1959" s="2"/>
    </row>
    <row r="1960" spans="1:11" ht="63" x14ac:dyDescent="0.25">
      <c r="A1960" s="1" t="str">
        <f>"A-104/2014"</f>
        <v>A-104/2014</v>
      </c>
      <c r="B1960" s="1" t="s">
        <v>11</v>
      </c>
      <c r="C1960" s="1" t="s">
        <v>869</v>
      </c>
      <c r="D1960" s="1" t="str">
        <f>"2747-2013-EMV"</f>
        <v>2747-2013-EMV</v>
      </c>
      <c r="E1960" s="2"/>
      <c r="F1960" s="1" t="str">
        <f>"276.540,00"</f>
        <v>276.540,00</v>
      </c>
      <c r="G1960" s="1" t="str">
        <f>"16.09.2014."</f>
        <v>16.09.2014.</v>
      </c>
      <c r="H1960" s="1" t="str">
        <f>CONCATENATE("1. Zajednica ponuditelja: ",CHAR(10),"    METALMINERAL-KAMEN D.O.O., SVETA NEDJELJA-KERESTINEC",CHAR(10),"    TEHNIKA D.D., ZAGREB")</f>
        <v>1. Zajednica ponuditelja: 
    METALMINERAL-KAMEN D.O.O., SVETA NEDJELJA-KERESTINEC
    TEHNIKA D.D., ZAGREB</v>
      </c>
      <c r="I1960" s="2"/>
      <c r="J1960" s="1"/>
      <c r="K1960" s="2"/>
    </row>
    <row r="1961" spans="1:11" ht="47.25" x14ac:dyDescent="0.25">
      <c r="A1961" s="1" t="str">
        <f>"536/2014"</f>
        <v>536/2014</v>
      </c>
      <c r="B1961" s="1" t="s">
        <v>26</v>
      </c>
      <c r="C1961" s="1" t="s">
        <v>870</v>
      </c>
      <c r="D1961" s="1" t="str">
        <f>"2014-55"</f>
        <v>2014-55</v>
      </c>
      <c r="E1961" s="2"/>
      <c r="F1961" s="1" t="str">
        <f>"82.720,20"</f>
        <v>82.720,20</v>
      </c>
      <c r="G1961" s="1" t="str">
        <f>CONCATENATE("15.09.2014.",CHAR(10),"12 mjeseci")</f>
        <v>15.09.2014.
12 mjeseci</v>
      </c>
      <c r="H1961" s="1" t="str">
        <f>CONCATENATE("MESSER CROATIA PLIN D.O.O., ZAPREŠIĆ")</f>
        <v>MESSER CROATIA PLIN D.O.O., ZAPREŠIĆ</v>
      </c>
      <c r="I1961" s="2"/>
      <c r="J1961" s="1"/>
      <c r="K1961" s="1" t="s">
        <v>607</v>
      </c>
    </row>
    <row r="1962" spans="1:11" ht="78.75" x14ac:dyDescent="0.25">
      <c r="A1962" s="1" t="str">
        <f>"537/2014"</f>
        <v>537/2014</v>
      </c>
      <c r="B1962" s="1" t="s">
        <v>136</v>
      </c>
      <c r="C1962" s="1" t="s">
        <v>871</v>
      </c>
      <c r="D1962" s="1" t="str">
        <f>CONCATENATE("Z-2014-3",CHAR(10),"2014/S-002-0011388 od 06.03.2014.")</f>
        <v>Z-2014-3
2014/S-002-0011388 od 06.03.2014.</v>
      </c>
      <c r="E1962" s="1" t="s">
        <v>366</v>
      </c>
      <c r="F1962" s="1" t="str">
        <f>"2.699.935,61"</f>
        <v>2.699.935,61</v>
      </c>
      <c r="G1962" s="1" t="str">
        <f>CONCATENATE("15.09.2014.",CHAR(10),"1 godina")</f>
        <v>15.09.2014.
1 godina</v>
      </c>
      <c r="H1962" s="1" t="str">
        <f>CONCATENATE("1. NARODNE NOVINE D.D., ZAGREB",CHAR(10),"2. Zajednica ponuditelja: ",CHAR(10),"    INSAKO D.O.O., ZAGREB-NOVI ZAGREB",CHAR(10),"    PREMIUM D.O.O., ZAGREB")</f>
        <v>1. NARODNE NOVINE D.D., ZAGREB
2. Zajednica ponuditelja: 
    INSAKO D.O.O., ZAGREB-NOVI ZAGREB
    PREMIUM D.O.O., ZAGREB</v>
      </c>
      <c r="I1962" s="2"/>
      <c r="J1962" s="1"/>
      <c r="K1962" s="1" t="s">
        <v>607</v>
      </c>
    </row>
    <row r="1963" spans="1:11" ht="47.25" x14ac:dyDescent="0.25">
      <c r="A1963" s="1" t="str">
        <f>"538/2014"</f>
        <v>538/2014</v>
      </c>
      <c r="B1963" s="1" t="s">
        <v>14</v>
      </c>
      <c r="C1963" s="1" t="s">
        <v>872</v>
      </c>
      <c r="D1963" s="1" t="str">
        <f>CONCATENATE("1612-2014-EMV",CHAR(10),"2014/S 002-0020817 od 23.04.2014.")</f>
        <v>1612-2014-EMV
2014/S 002-0020817 od 23.04.2014.</v>
      </c>
      <c r="E1963" s="1" t="s">
        <v>15</v>
      </c>
      <c r="F1963" s="1" t="str">
        <f>"1.709.555,35"</f>
        <v>1.709.555,35</v>
      </c>
      <c r="G1963" s="1" t="str">
        <f>CONCATENATE("16.09.2014.",CHAR(10),"4 mjeseca od dana uvođenja u posao")</f>
        <v>16.09.2014.
4 mjeseca od dana uvođenja u posao</v>
      </c>
      <c r="H1963" s="1" t="str">
        <f>CONCATENATE("TIM-COLOR D.O.O., ZAGREB")</f>
        <v>TIM-COLOR D.O.O., ZAGREB</v>
      </c>
      <c r="I1963" s="2"/>
      <c r="J1963" s="1"/>
      <c r="K1963" s="2"/>
    </row>
    <row r="1964" spans="1:11" ht="47.25" x14ac:dyDescent="0.25">
      <c r="A1964" s="1" t="str">
        <f>"540/2014"</f>
        <v>540/2014</v>
      </c>
      <c r="B1964" s="1" t="s">
        <v>26</v>
      </c>
      <c r="C1964" s="1" t="s">
        <v>873</v>
      </c>
      <c r="D1964" s="1" t="str">
        <f>"2014-2200"</f>
        <v>2014-2200</v>
      </c>
      <c r="E1964" s="2"/>
      <c r="F1964" s="1" t="str">
        <f>"99.600,00"</f>
        <v>99.600,00</v>
      </c>
      <c r="G1964" s="1" t="str">
        <f>CONCATENATE("15.09.2014.",CHAR(10),"31.12.2014")</f>
        <v>15.09.2014.
31.12.2014</v>
      </c>
      <c r="H1964" s="1" t="str">
        <f>CONCATENATE("TROL DK D.O.O., ZAGREB")</f>
        <v>TROL DK D.O.O., ZAGREB</v>
      </c>
      <c r="I1964" s="2"/>
      <c r="J1964" s="1"/>
      <c r="K1964" s="1" t="s">
        <v>607</v>
      </c>
    </row>
    <row r="1965" spans="1:11" ht="47.25" x14ac:dyDescent="0.25">
      <c r="A1965" s="1" t="str">
        <f>"543/2014"</f>
        <v>543/2014</v>
      </c>
      <c r="B1965" s="1" t="s">
        <v>14</v>
      </c>
      <c r="C1965" s="1" t="s">
        <v>874</v>
      </c>
      <c r="D1965" s="1" t="str">
        <f>CONCATENATE("2305-2014-EMV",CHAR(10),"2014/S 002-0026777 od 29.05.2014.")</f>
        <v>2305-2014-EMV
2014/S 002-0026777 od 29.05.2014.</v>
      </c>
      <c r="E1965" s="1" t="s">
        <v>15</v>
      </c>
      <c r="F1965" s="1" t="str">
        <f>"501.152,50"</f>
        <v>501.152,50</v>
      </c>
      <c r="G1965" s="1" t="str">
        <f>CONCATENATE("25.08.2014.",CHAR(10),"5 mjeseci od dana uvođenja u posao")</f>
        <v>25.08.2014.
5 mjeseci od dana uvođenja u posao</v>
      </c>
      <c r="H1965" s="1" t="str">
        <f>CONCATENATE("TA-GRAD D.O.O., ZAGREB")</f>
        <v>TA-GRAD D.O.O., ZAGREB</v>
      </c>
      <c r="I1965" s="2"/>
      <c r="J1965" s="1"/>
      <c r="K1965" s="2"/>
    </row>
    <row r="1966" spans="1:11" ht="47.25" x14ac:dyDescent="0.25">
      <c r="A1966" s="1" t="str">
        <f>"544/2014"</f>
        <v>544/2014</v>
      </c>
      <c r="B1966" s="1" t="s">
        <v>136</v>
      </c>
      <c r="C1966" s="1" t="s">
        <v>875</v>
      </c>
      <c r="D1966" s="1" t="str">
        <f>CONCATENATE("2014-1952",CHAR(10),"2014/S-002-0029933 od 16.06.2014.")</f>
        <v>2014-1952
2014/S-002-0029933 od 16.06.2014.</v>
      </c>
      <c r="E1966" s="1" t="s">
        <v>366</v>
      </c>
      <c r="F1966" s="1" t="str">
        <f>"3.707.546,03"</f>
        <v>3.707.546,03</v>
      </c>
      <c r="G1966" s="1" t="str">
        <f>CONCATENATE("15.09.2014.",CHAR(10),"2 godine")</f>
        <v>15.09.2014.
2 godine</v>
      </c>
      <c r="H1966" s="1" t="str">
        <f>CONCATENATE("BENNINGHOVEN GMBH &amp; CO.KG, MÜLHEIM (MOSEL)")</f>
        <v>BENNINGHOVEN GMBH &amp; CO.KG, MÜLHEIM (MOSEL)</v>
      </c>
      <c r="I1966" s="2"/>
      <c r="J1966" s="1"/>
      <c r="K1966" s="1" t="s">
        <v>607</v>
      </c>
    </row>
    <row r="1967" spans="1:11" ht="47.25" x14ac:dyDescent="0.25">
      <c r="A1967" s="1" t="str">
        <f>"545/2014"</f>
        <v>545/2014</v>
      </c>
      <c r="B1967" s="1" t="s">
        <v>14</v>
      </c>
      <c r="C1967" s="1" t="s">
        <v>876</v>
      </c>
      <c r="D1967" s="1" t="str">
        <f>CONCATENATE("1420-2014-EMV",CHAR(10),"2014/S 002-0028546 od 09.06.2014.")</f>
        <v>1420-2014-EMV
2014/S 002-0028546 od 09.06.2014.</v>
      </c>
      <c r="E1967" s="1" t="s">
        <v>15</v>
      </c>
      <c r="F1967" s="1" t="str">
        <f>"470.000,00"</f>
        <v>470.000,00</v>
      </c>
      <c r="G1967" s="1" t="str">
        <f>CONCATENATE("15.09.2014.",CHAR(10),"12 mjeseci od dana obostranog potpisa Ugovora")</f>
        <v>15.09.2014.
12 mjeseci od dana obostranog potpisa Ugovora</v>
      </c>
      <c r="H1967" s="1" t="str">
        <f>CONCATENATE("GRADITELJ SVRATIŠTA D.O.O., ZAGREB")</f>
        <v>GRADITELJ SVRATIŠTA D.O.O., ZAGREB</v>
      </c>
      <c r="I1967" s="2"/>
      <c r="J1967" s="1"/>
      <c r="K1967" s="2"/>
    </row>
    <row r="1968" spans="1:11" ht="47.25" x14ac:dyDescent="0.25">
      <c r="A1968" s="1" t="str">
        <f>"546/2014"</f>
        <v>546/2014</v>
      </c>
      <c r="B1968" s="1" t="s">
        <v>14</v>
      </c>
      <c r="C1968" s="1" t="s">
        <v>2843</v>
      </c>
      <c r="D1968" s="1" t="str">
        <f>CONCATENATE("2789-2013-EVV",CHAR(10),"2013/S 002-0087123 od 21.10.2013.")</f>
        <v>2789-2013-EVV
2013/S 002-0087123 od 21.10.2013.</v>
      </c>
      <c r="E1968" s="1" t="s">
        <v>15</v>
      </c>
      <c r="F1968" s="1" t="str">
        <f>"1.066.000,00"</f>
        <v>1.066.000,00</v>
      </c>
      <c r="G1968" s="1" t="str">
        <f>CONCATENATE("16.09.2014.",CHAR(10),"60 dana od dana obostranog potpisa Ugovora")</f>
        <v>16.09.2014.
60 dana od dana obostranog potpisa Ugovora</v>
      </c>
      <c r="H1968" s="1" t="str">
        <f>CONCATENATE("PRONING-DHI, ZAGREB")</f>
        <v>PRONING-DHI, ZAGREB</v>
      </c>
      <c r="I1968" s="2"/>
      <c r="J1968" s="1"/>
      <c r="K1968" s="2"/>
    </row>
    <row r="1969" spans="1:11" ht="47.25" x14ac:dyDescent="0.25">
      <c r="A1969" s="1" t="str">
        <f>"A-105/2014"</f>
        <v>A-105/2014</v>
      </c>
      <c r="B1969" s="1" t="s">
        <v>11</v>
      </c>
      <c r="C1969" s="1" t="s">
        <v>877</v>
      </c>
      <c r="D1969" s="1" t="str">
        <f>"1216-2014-EVV"</f>
        <v>1216-2014-EVV</v>
      </c>
      <c r="E1969" s="2"/>
      <c r="F1969" s="1" t="str">
        <f>"0,00"</f>
        <v>0,00</v>
      </c>
      <c r="G1969" s="1" t="str">
        <f>CONCATENATE("25.08.2014.",CHAR(10),"30 dana počevši od 30. kolovoza 2014")</f>
        <v>25.08.2014.
30 dana počevši od 30. kolovoza 2014</v>
      </c>
      <c r="H1969" s="1" t="str">
        <f>CONCATENATE("ŠKOLSKI SERVIS D.O.O., ZAGREB")</f>
        <v>ŠKOLSKI SERVIS D.O.O., ZAGREB</v>
      </c>
      <c r="I1969" s="2"/>
      <c r="J1969" s="1"/>
      <c r="K1969" s="2"/>
    </row>
    <row r="1970" spans="1:11" ht="47.25" x14ac:dyDescent="0.25">
      <c r="A1970" s="1" t="str">
        <f>"547/2014"</f>
        <v>547/2014</v>
      </c>
      <c r="B1970" s="1" t="s">
        <v>14</v>
      </c>
      <c r="C1970" s="1" t="s">
        <v>878</v>
      </c>
      <c r="D1970" s="1" t="str">
        <f>CONCATENATE("1245-2014-EMV",CHAR(10),"2014/S-002-0015309 od 26.03.2014.")</f>
        <v>1245-2014-EMV
2014/S-002-0015309 od 26.03.2014.</v>
      </c>
      <c r="E1970" s="1" t="s">
        <v>15</v>
      </c>
      <c r="F1970" s="1" t="str">
        <f>"935.958,00"</f>
        <v>935.958,00</v>
      </c>
      <c r="G1970" s="1" t="str">
        <f>CONCATENATE("16.09.2014.",CHAR(10),"14 mjeseci od dana uvođenja u posao")</f>
        <v>16.09.2014.
14 mjeseci od dana uvođenja u posao</v>
      </c>
      <c r="H1970" s="1" t="str">
        <f>CONCATENATE("TA-GRAD D.O.O., ZAGREB")</f>
        <v>TA-GRAD D.O.O., ZAGREB</v>
      </c>
      <c r="I1970" s="2"/>
      <c r="J1970" s="1"/>
      <c r="K1970" s="2"/>
    </row>
    <row r="1971" spans="1:11" ht="47.25" x14ac:dyDescent="0.25">
      <c r="A1971" s="1" t="str">
        <f>"A-106/2014"</f>
        <v>A-106/2014</v>
      </c>
      <c r="B1971" s="1" t="s">
        <v>11</v>
      </c>
      <c r="C1971" s="1" t="s">
        <v>2844</v>
      </c>
      <c r="D1971" s="1" t="str">
        <f>"2905-2014-EMV"</f>
        <v>2905-2014-EMV</v>
      </c>
      <c r="E1971" s="2"/>
      <c r="F1971" s="1" t="str">
        <f>"0,00"</f>
        <v>0,00</v>
      </c>
      <c r="G1971" s="1" t="str">
        <f>"01.09.2014."</f>
        <v>01.09.2014.</v>
      </c>
      <c r="H1971" s="1" t="str">
        <f>CONCATENATE("SYSPRINT D.O.O., ZAGREB")</f>
        <v>SYSPRINT D.O.O., ZAGREB</v>
      </c>
      <c r="I1971" s="2"/>
      <c r="J1971" s="1"/>
      <c r="K1971" s="2"/>
    </row>
    <row r="1972" spans="1:11" ht="63" x14ac:dyDescent="0.25">
      <c r="A1972" s="1" t="str">
        <f>"A-107/2014"</f>
        <v>A-107/2014</v>
      </c>
      <c r="B1972" s="1" t="s">
        <v>11</v>
      </c>
      <c r="C1972" s="1" t="s">
        <v>578</v>
      </c>
      <c r="D1972" s="1" t="str">
        <f>"1101-2012-EMV"</f>
        <v>1101-2012-EMV</v>
      </c>
      <c r="E1972" s="2"/>
      <c r="F1972" s="1" t="str">
        <f>"0,00"</f>
        <v>0,00</v>
      </c>
      <c r="G1972" s="1" t="str">
        <f>CONCATENATE("17.09.2014.",CHAR(10),"10 tjedana računajući od dana  obostranog potpisa ovog Aneksa")</f>
        <v>17.09.2014.
10 tjedana računajući od dana  obostranog potpisa ovog Aneksa</v>
      </c>
      <c r="H1972" s="1" t="str">
        <f>CONCATENATE("RETEL D.O.O., ZAGREB")</f>
        <v>RETEL D.O.O., ZAGREB</v>
      </c>
      <c r="I1972" s="2"/>
      <c r="J1972" s="1"/>
      <c r="K1972" s="2"/>
    </row>
    <row r="1973" spans="1:11" ht="31.5" x14ac:dyDescent="0.25">
      <c r="A1973" s="1" t="str">
        <f>"A-108/2014"</f>
        <v>A-108/2014</v>
      </c>
      <c r="B1973" s="1" t="s">
        <v>11</v>
      </c>
      <c r="C1973" s="1" t="s">
        <v>879</v>
      </c>
      <c r="D1973" s="1" t="str">
        <f>"200-2013-EMV"</f>
        <v>200-2013-EMV</v>
      </c>
      <c r="E1973" s="2"/>
      <c r="F1973" s="1" t="str">
        <f>"0,00"</f>
        <v>0,00</v>
      </c>
      <c r="G1973" s="1" t="str">
        <f>CONCATENATE("16.09.2014.",CHAR(10),"19.09.2014")</f>
        <v>16.09.2014.
19.09.2014</v>
      </c>
      <c r="H1973" s="1" t="str">
        <f>CONCATENATE("MI-MARIS D.O.O., IVANIĆ GRAD")</f>
        <v>MI-MARIS D.O.O., IVANIĆ GRAD</v>
      </c>
      <c r="I1973" s="2"/>
      <c r="J1973" s="1"/>
      <c r="K1973" s="2"/>
    </row>
    <row r="1974" spans="1:11" ht="47.25" x14ac:dyDescent="0.25">
      <c r="A1974" s="1" t="str">
        <f>"548/2014"</f>
        <v>548/2014</v>
      </c>
      <c r="B1974" s="1" t="s">
        <v>14</v>
      </c>
      <c r="C1974" s="1" t="s">
        <v>880</v>
      </c>
      <c r="D1974" s="1" t="str">
        <f>CONCATENATE("525-2014-EVV",CHAR(10),"2014/S 015-0036474 od 25.07.2014.")</f>
        <v>525-2014-EVV
2014/S 015-0036474 od 25.07.2014.</v>
      </c>
      <c r="E1974" s="1" t="s">
        <v>40</v>
      </c>
      <c r="F1974" s="1" t="str">
        <f>"2.149.982,98"</f>
        <v>2.149.982,98</v>
      </c>
      <c r="G1974" s="1" t="str">
        <f>CONCATENATE("16.09.2014.",CHAR(10),"6 mjeseci od dana obostranog potpisa Ugovora")</f>
        <v>16.09.2014.
6 mjeseci od dana obostranog potpisa Ugovora</v>
      </c>
      <c r="H1974" s="1" t="str">
        <f>CONCATENATE("HRVATSKE ŠUME D.O.O., ZAGREB")</f>
        <v>HRVATSKE ŠUME D.O.O., ZAGREB</v>
      </c>
      <c r="I1974" s="1" t="s">
        <v>270</v>
      </c>
      <c r="J1974" s="1" t="str">
        <f>SUBSTITUTE(SUBSTITUTE(SUBSTITUTE("2,687,478.73",".","-"),",","."),"-",",")</f>
        <v>2.687.478,73</v>
      </c>
      <c r="K1974" s="2"/>
    </row>
    <row r="1975" spans="1:11" ht="47.25" x14ac:dyDescent="0.25">
      <c r="A1975" s="1" t="str">
        <f>"A-109/2014"</f>
        <v>A-109/2014</v>
      </c>
      <c r="B1975" s="1" t="s">
        <v>11</v>
      </c>
      <c r="C1975" s="1" t="s">
        <v>881</v>
      </c>
      <c r="D1975" s="1" t="str">
        <f>"1218-2014-EVV"</f>
        <v>1218-2014-EVV</v>
      </c>
      <c r="E1975" s="2"/>
      <c r="F1975" s="1" t="str">
        <f>"0,00"</f>
        <v>0,00</v>
      </c>
      <c r="G1975" s="1" t="str">
        <f>CONCATENATE("25.08.2014.",CHAR(10),"30  dana počevši od dana 24. kolovoza 2014")</f>
        <v>25.08.2014.
30  dana počevši od dana 24. kolovoza 2014</v>
      </c>
      <c r="H1975" s="1" t="str">
        <f>CONCATENATE("ŠKOLSKI SERVIS D.O.O., ZAGREB")</f>
        <v>ŠKOLSKI SERVIS D.O.O., ZAGREB</v>
      </c>
      <c r="I1975" s="2"/>
      <c r="J1975" s="1"/>
      <c r="K1975" s="2"/>
    </row>
    <row r="1976" spans="1:11" ht="47.25" x14ac:dyDescent="0.25">
      <c r="A1976" s="1" t="str">
        <f>"549/2014"</f>
        <v>549/2014</v>
      </c>
      <c r="B1976" s="1" t="s">
        <v>136</v>
      </c>
      <c r="C1976" s="1" t="s">
        <v>882</v>
      </c>
      <c r="D1976" s="1" t="str">
        <f>CONCATENATE("2014-2338",CHAR(10),"2014/S 002-0031381 od 27.06.2014.")</f>
        <v>2014-2338
2014/S 002-0031381 od 27.06.2014.</v>
      </c>
      <c r="E1976" s="1" t="s">
        <v>366</v>
      </c>
      <c r="F1976" s="1" t="str">
        <f>"2.042.280,00"</f>
        <v>2.042.280,00</v>
      </c>
      <c r="G1976" s="1" t="str">
        <f>CONCATENATE("16.09.2014.",CHAR(10),"2 godine")</f>
        <v>16.09.2014.
2 godine</v>
      </c>
      <c r="H1976" s="1" t="str">
        <f>CONCATENATE("RO-TEHNOLOGIJA D.O.O., OPATIJA")</f>
        <v>RO-TEHNOLOGIJA D.O.O., OPATIJA</v>
      </c>
      <c r="I1976" s="2"/>
      <c r="J1976" s="1"/>
      <c r="K1976" s="1" t="s">
        <v>607</v>
      </c>
    </row>
    <row r="1977" spans="1:11" ht="47.25" x14ac:dyDescent="0.25">
      <c r="A1977" s="1" t="str">
        <f>"550/2014"</f>
        <v>550/2014</v>
      </c>
      <c r="B1977" s="1" t="s">
        <v>14</v>
      </c>
      <c r="C1977" s="1" t="s">
        <v>2845</v>
      </c>
      <c r="D1977" s="1" t="str">
        <f>CONCATENATE("2014-2190",CHAR(10),"2014/S-002-0017781 od 04.04.2014.")</f>
        <v>2014-2190
2014/S-002-0017781 od 04.04.2014.</v>
      </c>
      <c r="E1977" s="1" t="s">
        <v>15</v>
      </c>
      <c r="F1977" s="1" t="str">
        <f>"438.600,00"</f>
        <v>438.600,00</v>
      </c>
      <c r="G1977" s="1" t="str">
        <f>CONCATENATE("16.09.2014.",CHAR(10),"30 kalendarskih dana od dana potpisa Ugovora")</f>
        <v>16.09.2014.
30 kalendarskih dana od dana potpisa Ugovora</v>
      </c>
      <c r="H1977" s="1" t="str">
        <f>CONCATENATE("GRADATIN D.O.O., SESVETE")</f>
        <v>GRADATIN D.O.O., SESVETE</v>
      </c>
      <c r="I1977" s="2"/>
      <c r="J1977" s="1"/>
      <c r="K1977" s="1" t="s">
        <v>607</v>
      </c>
    </row>
    <row r="1978" spans="1:11" ht="47.25" x14ac:dyDescent="0.25">
      <c r="A1978" s="1" t="str">
        <f>"551/2014"</f>
        <v>551/2014</v>
      </c>
      <c r="B1978" s="1" t="s">
        <v>14</v>
      </c>
      <c r="C1978" s="1" t="s">
        <v>2846</v>
      </c>
      <c r="D1978" s="1" t="str">
        <f>CONCATENATE("2014-2190",CHAR(10),"2014/S-002-0017781 od 04.04.2014.")</f>
        <v>2014-2190
2014/S-002-0017781 od 04.04.2014.</v>
      </c>
      <c r="E1978" s="1" t="s">
        <v>15</v>
      </c>
      <c r="F1978" s="1" t="str">
        <f>"322.680,00"</f>
        <v>322.680,00</v>
      </c>
      <c r="G1978" s="1" t="str">
        <f>CONCATENATE("16.09.2014.",CHAR(10),"30 kalendarskih dana od dana potpisa Ugovora")</f>
        <v>16.09.2014.
30 kalendarskih dana od dana potpisa Ugovora</v>
      </c>
      <c r="H1978" s="1" t="str">
        <f>CONCATENATE("GRADATIN D.O.O., SESVETE")</f>
        <v>GRADATIN D.O.O., SESVETE</v>
      </c>
      <c r="I1978" s="1" t="s">
        <v>207</v>
      </c>
      <c r="J1978" s="1" t="str">
        <f>SUBSTITUTE(SUBSTITUTE(SUBSTITUTE("403,350.00",".","-"),",","."),"-",",")</f>
        <v>403.350,00</v>
      </c>
      <c r="K1978" s="1" t="s">
        <v>607</v>
      </c>
    </row>
    <row r="1979" spans="1:11" ht="47.25" x14ac:dyDescent="0.25">
      <c r="A1979" s="1" t="str">
        <f>"552/2014"</f>
        <v>552/2014</v>
      </c>
      <c r="B1979" s="1" t="s">
        <v>136</v>
      </c>
      <c r="C1979" s="1" t="s">
        <v>883</v>
      </c>
      <c r="D1979" s="1" t="str">
        <f>CONCATENATE("2014-2205",CHAR(10),"2014/S-002-0029501 od 12.06.2014.")</f>
        <v>2014-2205
2014/S-002-0029501 od 12.06.2014.</v>
      </c>
      <c r="E1979" s="1" t="s">
        <v>366</v>
      </c>
      <c r="F1979" s="1" t="str">
        <f>"709.925,00"</f>
        <v>709.925,00</v>
      </c>
      <c r="G1979" s="1" t="str">
        <f>CONCATENATE("17.09.2014.",CHAR(10),"2 godine")</f>
        <v>17.09.2014.
2 godine</v>
      </c>
      <c r="H1979" s="1" t="str">
        <f>CONCATENATE("DALEKOVOD PROIZVODNJA D.O.O., DUGO SELO")</f>
        <v>DALEKOVOD PROIZVODNJA D.O.O., DUGO SELO</v>
      </c>
      <c r="I1979" s="2"/>
      <c r="J1979" s="1"/>
      <c r="K1979" s="1" t="s">
        <v>607</v>
      </c>
    </row>
    <row r="1980" spans="1:11" ht="78.75" x14ac:dyDescent="0.25">
      <c r="A1980" s="1" t="str">
        <f>"553/2014"</f>
        <v>553/2014</v>
      </c>
      <c r="B1980" s="1" t="s">
        <v>14</v>
      </c>
      <c r="C1980" s="1" t="s">
        <v>884</v>
      </c>
      <c r="D1980" s="1" t="str">
        <f>CONCATENATE("1598-2014-EMV",CHAR(10),"2014/S 002-00229977 od 08.05.2014 i ispravak br. 2014/S 014-0023878 od 13.05.2014.")</f>
        <v>1598-2014-EMV
2014/S 002-00229977 od 08.05.2014 i ispravak br. 2014/S 014-0023878 od 13.05.2014.</v>
      </c>
      <c r="E1980" s="1" t="s">
        <v>15</v>
      </c>
      <c r="F1980" s="1" t="str">
        <f>"124.000,00"</f>
        <v>124.000,00</v>
      </c>
      <c r="G1980" s="1" t="str">
        <f>CONCATENATE("16.09.2014.",CHAR(10),"7 mjeseci od dana obostranog potpisa Ugovora")</f>
        <v>16.09.2014.
7 mjeseci od dana obostranog potpisa Ugovora</v>
      </c>
      <c r="H1980" s="1" t="str">
        <f>CONCATENATE("ARHINGTRADE D.O.O., ZAGREB")</f>
        <v>ARHINGTRADE D.O.O., ZAGREB</v>
      </c>
      <c r="I1980" s="2"/>
      <c r="J1980" s="1"/>
      <c r="K1980" s="2"/>
    </row>
    <row r="1981" spans="1:11" ht="110.25" x14ac:dyDescent="0.25">
      <c r="A1981" s="1" t="str">
        <f>"554/2014"</f>
        <v>554/2014</v>
      </c>
      <c r="B1981" s="1" t="s">
        <v>14</v>
      </c>
      <c r="C1981" s="1" t="s">
        <v>885</v>
      </c>
      <c r="D1981" s="1" t="str">
        <f>CONCATENATE("1365-2014-EMV",CHAR(10),"2014/S 002-0014895 od 24.03.2014.")</f>
        <v>1365-2014-EMV
2014/S 002-0014895 od 24.03.2014.</v>
      </c>
      <c r="E1981" s="1" t="s">
        <v>15</v>
      </c>
      <c r="F1981" s="1" t="str">
        <f>"331.390,00"</f>
        <v>331.390,00</v>
      </c>
      <c r="G1981" s="1" t="str">
        <f>CONCATENATE("17.09.2014.",CHAR(10),"12 mjeseci od dana obostranog potpisa Ugovora")</f>
        <v>17.09.2014.
12 mjeseci od dana obostranog potpisa Ugovora</v>
      </c>
      <c r="H1981" s="1" t="str">
        <f>CONCATENATE("1. Zajednica ponuditelja: ",CHAR(10),"    GEOTECH D.O.O., RIJEKA",CHAR(10),"    SVEUČILIŠTE U ZAGREBU - GRAĐEVINSKI FAKULTET, ZAGREB",CHAR(10),"    ELIPSA - S.Z. D.O.O., ZAGREB",CHAR(10),"    GEO-INFORMATIČKI STUDIO D.O.O., ZAGREB")</f>
        <v>1. Zajednica ponuditelja: 
    GEOTECH D.O.O., RIJEKA
    SVEUČILIŠTE U ZAGREBU - GRAĐEVINSKI FAKULTET, ZAGREB
    ELIPSA - S.Z. D.O.O., ZAGREB
    GEO-INFORMATIČKI STUDIO D.O.O., ZAGREB</v>
      </c>
      <c r="I1981" s="2"/>
      <c r="J1981" s="1"/>
      <c r="K1981" s="2"/>
    </row>
    <row r="1982" spans="1:11" ht="47.25" x14ac:dyDescent="0.25">
      <c r="A1982" s="1" t="str">
        <f>"555/2014"</f>
        <v>555/2014</v>
      </c>
      <c r="B1982" s="1" t="s">
        <v>136</v>
      </c>
      <c r="C1982" s="1" t="s">
        <v>886</v>
      </c>
      <c r="D1982" s="1" t="str">
        <f>CONCATENATE("2014-2253",CHAR(10),"2014/S 002-0029601 od 13.06.2014.")</f>
        <v>2014-2253
2014/S 002-0029601 od 13.06.2014.</v>
      </c>
      <c r="E1982" s="1" t="s">
        <v>366</v>
      </c>
      <c r="F1982" s="1" t="str">
        <f>"1.523.407,00"</f>
        <v>1.523.407,00</v>
      </c>
      <c r="G1982" s="1" t="str">
        <f>CONCATENATE("17.09.2014.",CHAR(10),"2 godine")</f>
        <v>17.09.2014.
2 godine</v>
      </c>
      <c r="H1982" s="1" t="str">
        <f>CONCATENATE("ADELA D.O.O., GOSPIĆ")</f>
        <v>ADELA D.O.O., GOSPIĆ</v>
      </c>
      <c r="I1982" s="2"/>
      <c r="J1982" s="1"/>
      <c r="K1982" s="1" t="s">
        <v>607</v>
      </c>
    </row>
    <row r="1983" spans="1:11" ht="47.25" x14ac:dyDescent="0.25">
      <c r="A1983" s="1" t="str">
        <f>"556/2014"</f>
        <v>556/2014</v>
      </c>
      <c r="B1983" s="1" t="s">
        <v>14</v>
      </c>
      <c r="C1983" s="1" t="s">
        <v>887</v>
      </c>
      <c r="D1983" s="1" t="str">
        <f>CONCATENATE("455-2014-EMV",CHAR(10),"2014/S 002-0036784 od 29.07.2014.")</f>
        <v>455-2014-EMV
2014/S 002-0036784 od 29.07.2014.</v>
      </c>
      <c r="E1983" s="1" t="s">
        <v>15</v>
      </c>
      <c r="F1983" s="1" t="str">
        <f>"161.492,00"</f>
        <v>161.492,00</v>
      </c>
      <c r="G1983" s="1" t="str">
        <f>CONCATENATE("16.09.2014.",CHAR(10),"30.06.2015")</f>
        <v>16.09.2014.
30.06.2015</v>
      </c>
      <c r="H1983" s="1" t="str">
        <f>CONCATENATE("AUTOTURIST SAMOBOR D.O.O., SAMOBOR")</f>
        <v>AUTOTURIST SAMOBOR D.O.O., SAMOBOR</v>
      </c>
      <c r="I1983" s="2"/>
      <c r="J1983" s="1"/>
      <c r="K1983" s="2"/>
    </row>
    <row r="1984" spans="1:11" ht="78.75" x14ac:dyDescent="0.25">
      <c r="A1984" s="1" t="str">
        <f>"557/2014"</f>
        <v>557/2014</v>
      </c>
      <c r="B1984" s="1" t="s">
        <v>14</v>
      </c>
      <c r="C1984" s="1" t="s">
        <v>888</v>
      </c>
      <c r="D1984" s="1" t="str">
        <f>CONCATENATE("2014-2182",CHAR(10),"2014/S 002-0017997 od 07.04.2014.")</f>
        <v>2014-2182
2014/S 002-0017997 od 07.04.2014.</v>
      </c>
      <c r="E1984" s="1" t="s">
        <v>15</v>
      </c>
      <c r="F1984" s="1" t="s">
        <v>889</v>
      </c>
      <c r="G1984" s="1" t="str">
        <f>CONCATENATE("19.09.2014.",CHAR(10),"60 mjeseci")</f>
        <v>19.09.2014.
60 mjeseci</v>
      </c>
      <c r="H1984" s="1" t="str">
        <f>CONCATENATE("ERSTE &amp; STEIERMÄRKISCHE S-LEASING D.O.O., ZAGREB")</f>
        <v>ERSTE &amp; STEIERMÄRKISCHE S-LEASING D.O.O., ZAGREB</v>
      </c>
      <c r="I1984" s="2"/>
      <c r="J1984" s="1"/>
      <c r="K1984" s="1" t="s">
        <v>607</v>
      </c>
    </row>
    <row r="1985" spans="1:11" ht="47.25" x14ac:dyDescent="0.25">
      <c r="A1985" s="1" t="str">
        <f>"558/2014"</f>
        <v>558/2014</v>
      </c>
      <c r="B1985" s="1" t="s">
        <v>14</v>
      </c>
      <c r="C1985" s="1" t="s">
        <v>890</v>
      </c>
      <c r="D1985" s="1" t="str">
        <f>CONCATENATE("2014-2315",CHAR(10),"2014/S-002-0031233 od 26.06.2014.")</f>
        <v>2014-2315
2014/S-002-0031233 od 26.06.2014.</v>
      </c>
      <c r="E1985" s="1" t="s">
        <v>15</v>
      </c>
      <c r="F1985" s="1" t="str">
        <f>"277.750,00"</f>
        <v>277.750,00</v>
      </c>
      <c r="G1985" s="1" t="str">
        <f>CONCATENATE("16.09.2014.",CHAR(10),"1 godina")</f>
        <v>16.09.2014.
1 godina</v>
      </c>
      <c r="H1985" s="1" t="str">
        <f>CONCATENATE("PET-PROM D.O.O., ZAGREB")</f>
        <v>PET-PROM D.O.O., ZAGREB</v>
      </c>
      <c r="I1985" s="2"/>
      <c r="J1985" s="1"/>
      <c r="K1985" s="1" t="s">
        <v>607</v>
      </c>
    </row>
    <row r="1986" spans="1:11" ht="47.25" x14ac:dyDescent="0.25">
      <c r="A1986" s="1" t="str">
        <f>"A-110/2014"</f>
        <v>A-110/2014</v>
      </c>
      <c r="B1986" s="1" t="s">
        <v>11</v>
      </c>
      <c r="C1986" s="1" t="s">
        <v>891</v>
      </c>
      <c r="D1986" s="1" t="str">
        <f>"1179-2013-EMV"</f>
        <v>1179-2013-EMV</v>
      </c>
      <c r="E1986" s="2"/>
      <c r="F1986" s="1" t="str">
        <f>"0,00"</f>
        <v>0,00</v>
      </c>
      <c r="G1986" s="1" t="str">
        <f>CONCATENATE("18.09.2014.",CHAR(10),"09.10.2014")</f>
        <v>18.09.2014.
09.10.2014</v>
      </c>
      <c r="H1986" s="1" t="str">
        <f>CONCATENATE("1. Zajednica ponuditelja: ",CHAR(10),"    TEH-GRADNJA D.O.O., ZAGREB",CHAR(10),"    GEOANDA D.O.O., ZAGREB")</f>
        <v>1. Zajednica ponuditelja: 
    TEH-GRADNJA D.O.O., ZAGREB
    GEOANDA D.O.O., ZAGREB</v>
      </c>
      <c r="I1986" s="2"/>
      <c r="J1986" s="1"/>
      <c r="K1986" s="2"/>
    </row>
    <row r="1987" spans="1:11" ht="47.25" x14ac:dyDescent="0.25">
      <c r="A1987" s="1" t="str">
        <f>"A-111/2014"</f>
        <v>A-111/2014</v>
      </c>
      <c r="B1987" s="1" t="s">
        <v>11</v>
      </c>
      <c r="C1987" s="1" t="s">
        <v>892</v>
      </c>
      <c r="D1987" s="1" t="str">
        <f>"488-2014-EVV"</f>
        <v>488-2014-EVV</v>
      </c>
      <c r="E1987" s="2"/>
      <c r="F1987" s="1" t="str">
        <f>"240.100,00"</f>
        <v>240.100,00</v>
      </c>
      <c r="G1987" s="1" t="str">
        <f>"18.09.2014."</f>
        <v>18.09.2014.</v>
      </c>
      <c r="H1987" s="1" t="str">
        <f>CONCATENATE("1. Zajednica ponuditelja: ",CHAR(10),"    EKO-DERATIZACIJA D.O.O., ZAGREB",CHAR(10),"    SANITACIJA D.O.O., ZAGREB")</f>
        <v>1. Zajednica ponuditelja: 
    EKO-DERATIZACIJA D.O.O., ZAGREB
    SANITACIJA D.O.O., ZAGREB</v>
      </c>
      <c r="I1987" s="2"/>
      <c r="J1987" s="1"/>
      <c r="K1987" s="2"/>
    </row>
    <row r="1988" spans="1:11" ht="47.25" x14ac:dyDescent="0.25">
      <c r="A1988" s="1" t="str">
        <f>"559/2014"</f>
        <v>559/2014</v>
      </c>
      <c r="B1988" s="1" t="s">
        <v>14</v>
      </c>
      <c r="C1988" s="1" t="s">
        <v>893</v>
      </c>
      <c r="D1988" s="1" t="str">
        <f>CONCATENATE("475-2014-EMV",CHAR(10),"2014/S-002-0024349 od 15.05.2014.")</f>
        <v>475-2014-EMV
2014/S-002-0024349 od 15.05.2014.</v>
      </c>
      <c r="E1988" s="1" t="s">
        <v>15</v>
      </c>
      <c r="F1988" s="1" t="str">
        <f>"134.800,00"</f>
        <v>134.800,00</v>
      </c>
      <c r="G1988" s="1" t="str">
        <f>CONCATENATE("22.09.2014.",CHAR(10),"90 dana od dana obostranog potpisa Ugovora")</f>
        <v>22.09.2014.
90 dana od dana obostranog potpisa Ugovora</v>
      </c>
      <c r="H1988" s="1" t="str">
        <f>CONCATENATE("STAIRWELL AND LOFT D.O.O., ZAGREB")</f>
        <v>STAIRWELL AND LOFT D.O.O., ZAGREB</v>
      </c>
      <c r="I1988" s="2"/>
      <c r="J1988" s="1"/>
      <c r="K1988" s="2"/>
    </row>
    <row r="1989" spans="1:11" ht="47.25" x14ac:dyDescent="0.25">
      <c r="A1989" s="1" t="str">
        <f>"560/2014"</f>
        <v>560/2014</v>
      </c>
      <c r="B1989" s="1" t="s">
        <v>136</v>
      </c>
      <c r="C1989" s="1" t="s">
        <v>894</v>
      </c>
      <c r="D1989" s="1" t="str">
        <f>CONCATENATE("2014-2428",CHAR(10),"2014/S 002-0037234 od 31.07.2014.")</f>
        <v>2014-2428
2014/S 002-0037234 od 31.07.2014.</v>
      </c>
      <c r="E1989" s="1" t="s">
        <v>366</v>
      </c>
      <c r="F1989" s="1" t="str">
        <f>"701.830,57"</f>
        <v>701.830,57</v>
      </c>
      <c r="G1989" s="1" t="str">
        <f>CONCATENATE("19.09.2014.",CHAR(10),"2 godine")</f>
        <v>19.09.2014.
2 godine</v>
      </c>
      <c r="H1989" s="1" t="str">
        <f>CONCATENATE("POLJOOPSKRBA-TEHNO D.D., ZAGREB-SUSEDGRAD")</f>
        <v>POLJOOPSKRBA-TEHNO D.D., ZAGREB-SUSEDGRAD</v>
      </c>
      <c r="I1989" s="2"/>
      <c r="J1989" s="1"/>
      <c r="K1989" s="1" t="s">
        <v>607</v>
      </c>
    </row>
    <row r="1990" spans="1:11" ht="78.75" x14ac:dyDescent="0.25">
      <c r="A1990" s="1" t="str">
        <f>"561/2014"</f>
        <v>561/2014</v>
      </c>
      <c r="B1990" s="1" t="s">
        <v>14</v>
      </c>
      <c r="C1990" s="1" t="s">
        <v>895</v>
      </c>
      <c r="D1990" s="1" t="str">
        <f>CONCATENATE("2307-2014-EMV",CHAR(10),"2014/S 002-0034384 od 15.07.2014.")</f>
        <v>2307-2014-EMV
2014/S 002-0034384 od 15.07.2014.</v>
      </c>
      <c r="E1990" s="1" t="s">
        <v>15</v>
      </c>
      <c r="F1990" s="1" t="str">
        <f>"994.133,13"</f>
        <v>994.133,13</v>
      </c>
      <c r="G1990" s="1" t="str">
        <f>CONCATENATE("19.09.2014.",CHAR(10),"3 mjeseca od dana uvođenja u posao")</f>
        <v>19.09.2014.
3 mjeseca od dana uvođenja u posao</v>
      </c>
      <c r="H1990" s="1" t="str">
        <f>CONCATENATE("ELICOM D.O.O., ZAGREB")</f>
        <v>ELICOM D.O.O., ZAGREB</v>
      </c>
      <c r="I1990" s="1" t="s">
        <v>270</v>
      </c>
      <c r="J1990" s="1" t="str">
        <f>SUBSTITUTE(SUBSTITUTE(SUBSTITUTE("955,941.60",".","-"),",","."),"-",",")</f>
        <v>955.941,60</v>
      </c>
      <c r="K1990" s="2"/>
    </row>
    <row r="1991" spans="1:11" ht="47.25" x14ac:dyDescent="0.25">
      <c r="A1991" s="1" t="str">
        <f>"A-112/2014"</f>
        <v>A-112/2014</v>
      </c>
      <c r="B1991" s="1" t="s">
        <v>11</v>
      </c>
      <c r="C1991" s="1" t="s">
        <v>896</v>
      </c>
      <c r="D1991" s="1" t="str">
        <f>"2208-2013-EMV"</f>
        <v>2208-2013-EMV</v>
      </c>
      <c r="E1991" s="2"/>
      <c r="F1991" s="1" t="str">
        <f>"0,00"</f>
        <v>0,00</v>
      </c>
      <c r="G1991" s="1" t="str">
        <f>"23.09.2014."</f>
        <v>23.09.2014.</v>
      </c>
      <c r="H1991" s="1" t="str">
        <f>CONCATENATE("1. Zajednica ponuditelja: ",CHAR(10),"    WERKOS D.O.O., OSIJEK",CHAR(10),"    GEODATA PROJEKT D.O.O., ZAGREB")</f>
        <v>1. Zajednica ponuditelja: 
    WERKOS D.O.O., OSIJEK
    GEODATA PROJEKT D.O.O., ZAGREB</v>
      </c>
      <c r="I1991" s="2"/>
      <c r="J1991" s="1"/>
      <c r="K1991" s="2"/>
    </row>
    <row r="1992" spans="1:11" ht="63" x14ac:dyDescent="0.25">
      <c r="A1992" s="1" t="str">
        <f>"567/2014"</f>
        <v>567/2014</v>
      </c>
      <c r="B1992" s="1" t="s">
        <v>14</v>
      </c>
      <c r="C1992" s="1" t="s">
        <v>897</v>
      </c>
      <c r="D1992" s="1" t="str">
        <f>CONCATENATE("1376-2014-EMV",CHAR(10),"2014/S 002-0027069 od 30.05.2014.")</f>
        <v>1376-2014-EMV
2014/S 002-0027069 od 30.05.2014.</v>
      </c>
      <c r="E1992" s="1" t="s">
        <v>15</v>
      </c>
      <c r="F1992" s="1" t="str">
        <f>"319.767,40"</f>
        <v>319.767,40</v>
      </c>
      <c r="G1992" s="1" t="str">
        <f>CONCATENATE("23.09.2014.",CHAR(10),"60 dana od dana uvođenja u posao")</f>
        <v>23.09.2014.
60 dana od dana uvođenja u posao</v>
      </c>
      <c r="H1992" s="1" t="str">
        <f>CONCATENATE("1. Zajednica ponuditelja: ",CHAR(10),"    SEMAFOR D.O.O., ZAGREB",CHAR(10),"    PRIGORAC-GRAĐENJE D.O.O., SESVETE")</f>
        <v>1. Zajednica ponuditelja: 
    SEMAFOR D.O.O., ZAGREB
    PRIGORAC-GRAĐENJE D.O.O., SESVETE</v>
      </c>
      <c r="I1992" s="2"/>
      <c r="J1992" s="1"/>
      <c r="K1992" s="2"/>
    </row>
    <row r="1993" spans="1:11" ht="78.75" x14ac:dyDescent="0.25">
      <c r="A1993" s="1" t="str">
        <f>"568/2014"</f>
        <v>568/2014</v>
      </c>
      <c r="B1993" s="1" t="s">
        <v>14</v>
      </c>
      <c r="C1993" s="1" t="s">
        <v>898</v>
      </c>
      <c r="D1993" s="1" t="str">
        <f>CONCATENATE("2014-2179",CHAR(10),"2014/S 002-0017826 od 04.04.2014.")</f>
        <v>2014-2179
2014/S 002-0017826 od 04.04.2014.</v>
      </c>
      <c r="E1993" s="1" t="s">
        <v>15</v>
      </c>
      <c r="F1993" s="1" t="s">
        <v>899</v>
      </c>
      <c r="G1993" s="1" t="str">
        <f>CONCATENATE("19.09.2014.",CHAR(10),"60 mjeseci")</f>
        <v>19.09.2014.
60 mjeseci</v>
      </c>
      <c r="H1993" s="1" t="str">
        <f>CONCATENATE("1. Zajednica ponuditelja: ",CHAR(10),"    UNICREDIT LEASING CROATIA D.O.O., ZAGREB",CHAR(10),"    ERSTE &amp; STEIERMÄRKISCHE S-LEASING D.O.O., ZAGREB")</f>
        <v>1. Zajednica ponuditelja: 
    UNICREDIT LEASING CROATIA D.O.O., ZAGREB
    ERSTE &amp; STEIERMÄRKISCHE S-LEASING D.O.O., ZAGREB</v>
      </c>
      <c r="I1993" s="2"/>
      <c r="J1993" s="1"/>
      <c r="K1993" s="1" t="s">
        <v>607</v>
      </c>
    </row>
    <row r="1994" spans="1:11" ht="47.25" x14ac:dyDescent="0.25">
      <c r="A1994" s="1" t="str">
        <f>"569/2014"</f>
        <v>569/2014</v>
      </c>
      <c r="B1994" s="1" t="s">
        <v>14</v>
      </c>
      <c r="C1994" s="1" t="s">
        <v>900</v>
      </c>
      <c r="D1994" s="1" t="str">
        <f>CONCATENATE("2014-457",CHAR(10),"2014/S-002-0029960 od 16.06.2014.")</f>
        <v>2014-457
2014/S-002-0029960 od 16.06.2014.</v>
      </c>
      <c r="E1994" s="1" t="s">
        <v>15</v>
      </c>
      <c r="F1994" s="1" t="str">
        <f>"2.079.837,00"</f>
        <v>2.079.837,00</v>
      </c>
      <c r="G1994" s="1" t="str">
        <f>CONCATENATE("24.09.2014.",CHAR(10),"12 mjeseci od nastanka ugovornog odnosa")</f>
        <v>24.09.2014.
12 mjeseci od nastanka ugovornog odnosa</v>
      </c>
      <c r="H1994" s="1" t="str">
        <f>CONCATENATE("INDUSTROOPREMA D.O.O, ZAGREB")</f>
        <v>INDUSTROOPREMA D.O.O, ZAGREB</v>
      </c>
      <c r="I1994" s="2"/>
      <c r="J1994" s="1"/>
      <c r="K1994" s="1" t="s">
        <v>607</v>
      </c>
    </row>
    <row r="1995" spans="1:11" ht="78.75" x14ac:dyDescent="0.25">
      <c r="A1995" s="1" t="str">
        <f>"571/2014"</f>
        <v>571/2014</v>
      </c>
      <c r="B1995" s="1" t="s">
        <v>136</v>
      </c>
      <c r="C1995" s="1" t="s">
        <v>901</v>
      </c>
      <c r="D1995" s="1" t="str">
        <f>CONCATENATE("Z-2014-4",CHAR(10)," 2014/S 002-0017906 od 07.04.2014.")</f>
        <v>Z-2014-4
 2014/S 002-0017906 od 07.04.2014.</v>
      </c>
      <c r="E1995" s="1" t="s">
        <v>366</v>
      </c>
      <c r="F1995" s="1" t="str">
        <f>"244.649.250,80"</f>
        <v>244.649.250,80</v>
      </c>
      <c r="G1995" s="1" t="str">
        <f>CONCATENATE("24.09.2014.",CHAR(10),"2 godine")</f>
        <v>24.09.2014.
2 godine</v>
      </c>
      <c r="H1995" s="1" t="str">
        <f>CONCATENATE("1. Zajednica ponuditelja: ",CHAR(10),"    CRODUX DERIVATI DVA D.O.O., ZAGREB",CHAR(10),"    PETROL D.O.O., ZAGREB",CHAR(10),"2. LUKOIL CROATIA D.O.O., ZAGREB")</f>
        <v>1. Zajednica ponuditelja: 
    CRODUX DERIVATI DVA D.O.O., ZAGREB
    PETROL D.O.O., ZAGREB
2. LUKOIL CROATIA D.O.O., ZAGREB</v>
      </c>
      <c r="I1995" s="2"/>
      <c r="J1995" s="1"/>
      <c r="K1995" s="1" t="s">
        <v>607</v>
      </c>
    </row>
    <row r="1996" spans="1:11" ht="63" x14ac:dyDescent="0.25">
      <c r="A1996" s="1" t="str">
        <f>"572/2014"</f>
        <v>572/2014</v>
      </c>
      <c r="B1996" s="1" t="s">
        <v>136</v>
      </c>
      <c r="C1996" s="1" t="s">
        <v>902</v>
      </c>
      <c r="D1996" s="1" t="str">
        <f>CONCATENATE("Z-2014-4",CHAR(10)," 2014/S 002-0017906 od 07.04.2014.")</f>
        <v>Z-2014-4
 2014/S 002-0017906 od 07.04.2014.</v>
      </c>
      <c r="E1996" s="1" t="s">
        <v>366</v>
      </c>
      <c r="F1996" s="1" t="str">
        <f>"11.744.040,00"</f>
        <v>11.744.040,00</v>
      </c>
      <c r="G1996" s="1" t="str">
        <f>CONCATENATE("24.09.2014.",CHAR(10),"2 godine")</f>
        <v>24.09.2014.
2 godine</v>
      </c>
      <c r="H1996" s="1" t="str">
        <f>CONCATENATE("CRODUX DERIVATI DVA D.O.O., ZAGREB",CHAR(10),"LUKOIL CROATIA D.O.O., ZAGREB",CHAR(10),"PETROL D.O.O., ZAGREB")</f>
        <v>CRODUX DERIVATI DVA D.O.O., ZAGREB
LUKOIL CROATIA D.O.O., ZAGREB
PETROL D.O.O., ZAGREB</v>
      </c>
      <c r="I1996" s="2"/>
      <c r="J1996" s="1"/>
      <c r="K1996" s="1" t="s">
        <v>607</v>
      </c>
    </row>
    <row r="1997" spans="1:11" ht="63" x14ac:dyDescent="0.25">
      <c r="A1997" s="1" t="str">
        <f>"573/2014"</f>
        <v>573/2014</v>
      </c>
      <c r="B1997" s="1" t="s">
        <v>136</v>
      </c>
      <c r="C1997" s="1" t="s">
        <v>903</v>
      </c>
      <c r="D1997" s="1" t="str">
        <f>CONCATENATE("Z-2014-4",CHAR(10)," 2014/S 002-0017906 od 07.04.2014.")</f>
        <v>Z-2014-4
 2014/S 002-0017906 od 07.04.2014.</v>
      </c>
      <c r="E1997" s="1" t="s">
        <v>366</v>
      </c>
      <c r="F1997" s="1" t="str">
        <f>"62.145.540,00"</f>
        <v>62.145.540,00</v>
      </c>
      <c r="G1997" s="1" t="str">
        <f>CONCATENATE("24.09.2014.",CHAR(10),"2 godine")</f>
        <v>24.09.2014.
2 godine</v>
      </c>
      <c r="H1997" s="1" t="str">
        <f>CONCATENATE("CRODUX DERIVATI DVA D.O.O., ZAGREB",CHAR(10),"LUKOIL CROATIA D.O.O., ZAGREB",CHAR(10),"PETROL D.O.O., ZAGREB")</f>
        <v>CRODUX DERIVATI DVA D.O.O., ZAGREB
LUKOIL CROATIA D.O.O., ZAGREB
PETROL D.O.O., ZAGREB</v>
      </c>
      <c r="I1997" s="2"/>
      <c r="J1997" s="1"/>
      <c r="K1997" s="1" t="s">
        <v>607</v>
      </c>
    </row>
    <row r="1998" spans="1:11" ht="63" x14ac:dyDescent="0.25">
      <c r="A1998" s="1" t="str">
        <f>"574/2014"</f>
        <v>574/2014</v>
      </c>
      <c r="B1998" s="1" t="s">
        <v>26</v>
      </c>
      <c r="C1998" s="1" t="s">
        <v>904</v>
      </c>
      <c r="D1998" s="1" t="str">
        <f>"Z-2014-1"</f>
        <v>Z-2014-1</v>
      </c>
      <c r="E1998" s="2"/>
      <c r="F1998" s="1" t="str">
        <f>"49.146,00"</f>
        <v>49.146,00</v>
      </c>
      <c r="G1998" s="1" t="str">
        <f>CONCATENATE("18.09.2014.",CHAR(10),"30.06.2015")</f>
        <v>18.09.2014.
30.06.2015</v>
      </c>
      <c r="H1998" s="1" t="str">
        <f>CONCATENATE("1. Zajednica ponuditelja: ",CHAR(10),"    ZVIBOR D.O.O., ZAGREB",CHAR(10),"    TIP-ZAGREB D.O.O., ZAGREB",CHAR(10),"    FOKUS D.O.O., ZAGREB")</f>
        <v>1. Zajednica ponuditelja: 
    ZVIBOR D.O.O., ZAGREB
    TIP-ZAGREB D.O.O., ZAGREB
    FOKUS D.O.O., ZAGREB</v>
      </c>
      <c r="I1998" s="2"/>
      <c r="J1998" s="1"/>
      <c r="K1998" s="1" t="s">
        <v>607</v>
      </c>
    </row>
    <row r="1999" spans="1:11" ht="47.25" x14ac:dyDescent="0.25">
      <c r="A1999" s="1" t="str">
        <f>"575/2014"</f>
        <v>575/2014</v>
      </c>
      <c r="B1999" s="1" t="s">
        <v>14</v>
      </c>
      <c r="C1999" s="1" t="s">
        <v>905</v>
      </c>
      <c r="D1999" s="1" t="str">
        <f>CONCATENATE("1259-2014-EMV",CHAR(10),"2014/S 002-0032429 od 04.07.2014.")</f>
        <v>1259-2014-EMV
2014/S 002-0032429 od 04.07.2014.</v>
      </c>
      <c r="E1999" s="1" t="s">
        <v>15</v>
      </c>
      <c r="F1999" s="1" t="str">
        <f>"746.753,95"</f>
        <v>746.753,95</v>
      </c>
      <c r="G1999" s="1" t="str">
        <f>CONCATENATE("25.09.2014.",CHAR(10),"120 dana računajući od dana uvođenja u posao")</f>
        <v>25.09.2014.
120 dana računajući od dana uvođenja u posao</v>
      </c>
      <c r="H1999" s="1" t="str">
        <f>CONCATENATE("TITAN CONSTRUCTA D.O.O., ZAGREB")</f>
        <v>TITAN CONSTRUCTA D.O.O., ZAGREB</v>
      </c>
      <c r="I1999" s="2"/>
      <c r="J1999" s="1"/>
      <c r="K1999" s="2"/>
    </row>
    <row r="2000" spans="1:11" ht="47.25" x14ac:dyDescent="0.25">
      <c r="A2000" s="1" t="str">
        <f>"576/2014"</f>
        <v>576/2014</v>
      </c>
      <c r="B2000" s="1" t="s">
        <v>14</v>
      </c>
      <c r="C2000" s="1" t="s">
        <v>906</v>
      </c>
      <c r="D2000" s="1" t="str">
        <f>CONCATENATE("6-2014-EMV",CHAR(10),"2014/S 002-0035039 od 18.07.2014.")</f>
        <v>6-2014-EMV
2014/S 002-0035039 od 18.07.2014.</v>
      </c>
      <c r="E2000" s="1" t="s">
        <v>15</v>
      </c>
      <c r="F2000" s="1" t="str">
        <f>"238.966,00"</f>
        <v>238.966,00</v>
      </c>
      <c r="G2000" s="1" t="str">
        <f>CONCATENATE("24.09.2014.",CHAR(10),"12 mjeseci")</f>
        <v>24.09.2014.
12 mjeseci</v>
      </c>
      <c r="H2000" s="1" t="str">
        <f>CONCATENATE("ZAGREBAČKI HOLDING D.O.O., PODRUŽNICA ZRINJEVAC, ZAGREB")</f>
        <v>ZAGREBAČKI HOLDING D.O.O., PODRUŽNICA ZRINJEVAC, ZAGREB</v>
      </c>
      <c r="I2000" s="2"/>
      <c r="J2000" s="1"/>
      <c r="K2000" s="2"/>
    </row>
    <row r="2001" spans="1:11" ht="47.25" x14ac:dyDescent="0.25">
      <c r="A2001" s="1" t="str">
        <f>"578/2014"</f>
        <v>578/2014</v>
      </c>
      <c r="B2001" s="1" t="s">
        <v>26</v>
      </c>
      <c r="C2001" s="1" t="s">
        <v>2847</v>
      </c>
      <c r="D2001" s="1" t="str">
        <f>"965-2012-EVV"</f>
        <v>965-2012-EVV</v>
      </c>
      <c r="E2001" s="2"/>
      <c r="F2001" s="1" t="str">
        <f>"458.830,00"</f>
        <v>458.830,00</v>
      </c>
      <c r="G2001" s="1" t="str">
        <f>CONCATENATE("24.09.2014.",CHAR(10),"5 mjeseci")</f>
        <v>24.09.2014.
5 mjeseci</v>
      </c>
      <c r="H2001" s="1" t="str">
        <f>CONCATENATE("HEMCO D.O.O., ĐAKOVO")</f>
        <v>HEMCO D.O.O., ĐAKOVO</v>
      </c>
      <c r="I2001" s="1" t="s">
        <v>632</v>
      </c>
      <c r="J2001" s="1" t="str">
        <f>SUBSTITUTE(SUBSTITUTE(SUBSTITUTE("386,037.50",".","-"),",","."),"-",",")</f>
        <v>386.037,50</v>
      </c>
      <c r="K2001" s="2"/>
    </row>
    <row r="2002" spans="1:11" ht="47.25" x14ac:dyDescent="0.25">
      <c r="A2002" s="1" t="str">
        <f>"579/2014"</f>
        <v>579/2014</v>
      </c>
      <c r="B2002" s="1" t="s">
        <v>14</v>
      </c>
      <c r="C2002" s="1" t="s">
        <v>907</v>
      </c>
      <c r="D2002" s="1" t="str">
        <f>CONCATENATE("5-2014-EMV",CHAR(10),"2014/S 015-0041169 od 01.09.2014.")</f>
        <v>5-2014-EMV
2014/S 015-0041169 od 01.09.2014.</v>
      </c>
      <c r="E2002" s="1" t="s">
        <v>40</v>
      </c>
      <c r="F2002" s="1" t="str">
        <f>"160.290,00"</f>
        <v>160.290,00</v>
      </c>
      <c r="G2002" s="1" t="str">
        <f>CONCATENATE("25.09.2014.",CHAR(10),"12 mjeseci")</f>
        <v>25.09.2014.
12 mjeseci</v>
      </c>
      <c r="H2002" s="1" t="str">
        <f>CONCATENATE("GLOBAL LINK D.O.O., ZAGREB")</f>
        <v>GLOBAL LINK D.O.O., ZAGREB</v>
      </c>
      <c r="I2002" s="2"/>
      <c r="J2002" s="1"/>
      <c r="K2002" s="2"/>
    </row>
    <row r="2003" spans="1:11" ht="78.75" x14ac:dyDescent="0.25">
      <c r="A2003" s="1" t="str">
        <f>"580/2014"</f>
        <v>580/2014</v>
      </c>
      <c r="B2003" s="1" t="s">
        <v>26</v>
      </c>
      <c r="C2003" s="1" t="s">
        <v>2848</v>
      </c>
      <c r="D2003" s="1" t="str">
        <f>"2014-2154"</f>
        <v>2014-2154</v>
      </c>
      <c r="E2003" s="2"/>
      <c r="F2003" s="1" t="str">
        <f>"1.100.500,00"</f>
        <v>1.100.500,00</v>
      </c>
      <c r="G2003" s="1" t="str">
        <f>CONCATENATE("24.09.2014.",CHAR(10),"31.1.2015")</f>
        <v>24.09.2014.
31.1.2015</v>
      </c>
      <c r="H2003" s="1" t="str">
        <f>CONCATENATE("MALI GRM D.O.O., ZAGREB")</f>
        <v>MALI GRM D.O.O., ZAGREB</v>
      </c>
      <c r="I2003" s="2"/>
      <c r="J2003" s="1"/>
      <c r="K2003" s="1" t="s">
        <v>607</v>
      </c>
    </row>
    <row r="2004" spans="1:11" ht="47.25" x14ac:dyDescent="0.25">
      <c r="A2004" s="1" t="str">
        <f>"A-113/2014"</f>
        <v>A-113/2014</v>
      </c>
      <c r="B2004" s="1" t="s">
        <v>11</v>
      </c>
      <c r="C2004" s="1" t="s">
        <v>908</v>
      </c>
      <c r="D2004" s="1" t="str">
        <f>"391-2012-EMV"</f>
        <v>391-2012-EMV</v>
      </c>
      <c r="E2004" s="2"/>
      <c r="F2004" s="1" t="str">
        <f>"0,00"</f>
        <v>0,00</v>
      </c>
      <c r="G2004" s="1" t="str">
        <f>"24.09.2014."</f>
        <v>24.09.2014.</v>
      </c>
      <c r="H2004" s="1" t="str">
        <f>CONCATENATE("SUNCE OSIGURANJE D.D., ZAGREB")</f>
        <v>SUNCE OSIGURANJE D.D., ZAGREB</v>
      </c>
      <c r="I2004" s="2"/>
      <c r="J2004" s="1"/>
      <c r="K2004" s="2"/>
    </row>
    <row r="2005" spans="1:11" ht="47.25" x14ac:dyDescent="0.25">
      <c r="A2005" s="1" t="str">
        <f>"581/2014"</f>
        <v>581/2014</v>
      </c>
      <c r="B2005" s="1" t="s">
        <v>26</v>
      </c>
      <c r="C2005" s="1" t="s">
        <v>909</v>
      </c>
      <c r="D2005" s="1" t="str">
        <f>"2014-1569"</f>
        <v>2014-1569</v>
      </c>
      <c r="E2005" s="2"/>
      <c r="F2005" s="1" t="str">
        <f>"2.999.704,00"</f>
        <v>2.999.704,00</v>
      </c>
      <c r="G2005" s="1" t="str">
        <f>CONCATENATE("26.09.2014.",CHAR(10),"28.2.2015")</f>
        <v>26.09.2014.
28.2.2015</v>
      </c>
      <c r="H2005" s="1" t="str">
        <f>CONCATENATE("ELECTUS DGS D.O.O., ZAGREB")</f>
        <v>ELECTUS DGS D.O.O., ZAGREB</v>
      </c>
      <c r="I2005" s="2"/>
      <c r="J2005" s="1"/>
      <c r="K2005" s="1" t="s">
        <v>607</v>
      </c>
    </row>
    <row r="2006" spans="1:11" ht="47.25" x14ac:dyDescent="0.25">
      <c r="A2006" s="1" t="str">
        <f>"582/2014"</f>
        <v>582/2014</v>
      </c>
      <c r="B2006" s="1" t="s">
        <v>14</v>
      </c>
      <c r="C2006" s="1" t="s">
        <v>910</v>
      </c>
      <c r="D2006" s="1" t="str">
        <f>CONCATENATE("5-2014-EMV",CHAR(10),"2014/S 015-0041169 od 01.09.2014.")</f>
        <v>5-2014-EMV
2014/S 015-0041169 od 01.09.2014.</v>
      </c>
      <c r="E2006" s="1" t="s">
        <v>40</v>
      </c>
      <c r="F2006" s="1" t="str">
        <f>"22.145,00"</f>
        <v>22.145,00</v>
      </c>
      <c r="G2006" s="1" t="str">
        <f>CONCATENATE("25.09.2014.",CHAR(10),"12 mjeseci")</f>
        <v>25.09.2014.
12 mjeseci</v>
      </c>
      <c r="H2006" s="1" t="str">
        <f>CONCATENATE("PRESSCUT D.O.O., ZAGREB")</f>
        <v>PRESSCUT D.O.O., ZAGREB</v>
      </c>
      <c r="I2006" s="2"/>
      <c r="J2006" s="1"/>
      <c r="K2006" s="2"/>
    </row>
    <row r="2007" spans="1:11" ht="47.25" x14ac:dyDescent="0.25">
      <c r="A2007" s="1" t="str">
        <f>"583/2014"</f>
        <v>583/2014</v>
      </c>
      <c r="B2007" s="1" t="s">
        <v>136</v>
      </c>
      <c r="C2007" s="1" t="s">
        <v>911</v>
      </c>
      <c r="D2007" s="1" t="str">
        <f>CONCATENATE("2014-2465",CHAR(10),"2014/S 002-0038029 od 04.08.2014.")</f>
        <v>2014-2465
2014/S 002-0038029 od 04.08.2014.</v>
      </c>
      <c r="E2007" s="1" t="s">
        <v>366</v>
      </c>
      <c r="F2007" s="1" t="str">
        <f>"1.224.140,00"</f>
        <v>1.224.140,00</v>
      </c>
      <c r="G2007" s="1" t="str">
        <f>CONCATENATE("29.09.2014.",CHAR(10),"2 godine")</f>
        <v>29.09.2014.
2 godine</v>
      </c>
      <c r="H2007" s="1" t="str">
        <f>CONCATENATE("METALNO PLASTIČNA GALANTERIJA, OBRT ZA PROIZVODNJU VL. MIRKO CVETKOVIĆ, ZAGREB")</f>
        <v>METALNO PLASTIČNA GALANTERIJA, OBRT ZA PROIZVODNJU VL. MIRKO CVETKOVIĆ, ZAGREB</v>
      </c>
      <c r="I2007" s="2"/>
      <c r="J2007" s="1"/>
      <c r="K2007" s="1" t="s">
        <v>607</v>
      </c>
    </row>
    <row r="2008" spans="1:11" ht="47.25" x14ac:dyDescent="0.25">
      <c r="A2008" s="1" t="str">
        <f>"585/2014"</f>
        <v>585/2014</v>
      </c>
      <c r="B2008" s="1" t="s">
        <v>26</v>
      </c>
      <c r="C2008" s="1" t="s">
        <v>912</v>
      </c>
      <c r="D2008" s="1" t="str">
        <f>"409-2013-EVV"</f>
        <v>409-2013-EVV</v>
      </c>
      <c r="E2008" s="2"/>
      <c r="F2008" s="1" t="str">
        <f>"4.105.753,46"</f>
        <v>4.105.753,46</v>
      </c>
      <c r="G2008" s="1" t="str">
        <f>CONCATENATE("11.09.2014.",CHAR(10),"12 mjeseci od dana obostranog potpisa Ugovora")</f>
        <v>11.09.2014.
12 mjeseci od dana obostranog potpisa Ugovora</v>
      </c>
      <c r="H2008" s="1" t="str">
        <f>CONCATENATE("GRADSKA PLINARA ZAGREB-OPSKRBA D.O.O., ZAGREB")</f>
        <v>GRADSKA PLINARA ZAGREB-OPSKRBA D.O.O., ZAGREB</v>
      </c>
      <c r="I2008" s="2"/>
      <c r="J2008" s="1"/>
      <c r="K2008" s="2"/>
    </row>
    <row r="2009" spans="1:11" ht="47.25" x14ac:dyDescent="0.25">
      <c r="A2009" s="1" t="str">
        <f>"588/2014"</f>
        <v>588/2014</v>
      </c>
      <c r="B2009" s="1" t="s">
        <v>136</v>
      </c>
      <c r="C2009" s="1" t="s">
        <v>913</v>
      </c>
      <c r="D2009" s="1" t="str">
        <f>CONCATENATE("2014-2245",CHAR(10),"2014/S 002-0037339 od 31.07.2014.")</f>
        <v>2014-2245
2014/S 002-0037339 od 31.07.2014.</v>
      </c>
      <c r="E2009" s="1" t="s">
        <v>366</v>
      </c>
      <c r="F2009" s="1" t="str">
        <f>"887.288,80"</f>
        <v>887.288,80</v>
      </c>
      <c r="G2009" s="1" t="str">
        <f>CONCATENATE("29.09.2014.",CHAR(10),"2 godine")</f>
        <v>29.09.2014.
2 godine</v>
      </c>
      <c r="H2009" s="1" t="str">
        <f>CONCATENATE("ARBORI CULTURA D.O.O., POKUPSKO")</f>
        <v>ARBORI CULTURA D.O.O., POKUPSKO</v>
      </c>
      <c r="I2009" s="2"/>
      <c r="J2009" s="1"/>
      <c r="K2009" s="1" t="s">
        <v>607</v>
      </c>
    </row>
    <row r="2010" spans="1:11" ht="47.25" x14ac:dyDescent="0.25">
      <c r="A2010" s="1" t="str">
        <f>"589/2014"</f>
        <v>589/2014</v>
      </c>
      <c r="B2010" s="1" t="s">
        <v>14</v>
      </c>
      <c r="C2010" s="1" t="s">
        <v>914</v>
      </c>
      <c r="D2010" s="1" t="str">
        <f>CONCATENATE("2308-2014-EMV",CHAR(10),"2014/S 002-0027356 od 02.06.2014.")</f>
        <v>2308-2014-EMV
2014/S 002-0027356 od 02.06.2014.</v>
      </c>
      <c r="E2010" s="1" t="s">
        <v>15</v>
      </c>
      <c r="F2010" s="1" t="str">
        <f>"3.403.187,64"</f>
        <v>3.403.187,64</v>
      </c>
      <c r="G2010" s="1" t="str">
        <f>CONCATENATE("29.09.2014.",CHAR(10),"6 mjeseci od dana uvođenja u posao")</f>
        <v>29.09.2014.
6 mjeseci od dana uvođenja u posao</v>
      </c>
      <c r="H2010" s="1" t="str">
        <f>CONCATENATE("TEH-GRADNJA D.O.O., ZAGREB")</f>
        <v>TEH-GRADNJA D.O.O., ZAGREB</v>
      </c>
      <c r="I2010" s="2"/>
      <c r="J2010" s="1"/>
      <c r="K2010" s="2"/>
    </row>
    <row r="2011" spans="1:11" ht="47.25" x14ac:dyDescent="0.25">
      <c r="A2011" s="1" t="str">
        <f>"590/2014"</f>
        <v>590/2014</v>
      </c>
      <c r="B2011" s="1" t="s">
        <v>14</v>
      </c>
      <c r="C2011" s="1" t="s">
        <v>915</v>
      </c>
      <c r="D2011" s="1" t="str">
        <f>CONCATENATE("1377-2014-EMV",CHAR(10),"2014/S 002-0029637 od 13.06.2014.")</f>
        <v>1377-2014-EMV
2014/S 002-0029637 od 13.06.2014.</v>
      </c>
      <c r="E2011" s="1" t="s">
        <v>15</v>
      </c>
      <c r="F2011" s="1" t="str">
        <f>"202.179,66"</f>
        <v>202.179,66</v>
      </c>
      <c r="G2011" s="1" t="str">
        <f>CONCATENATE("29.09.2014.",CHAR(10),"4 mjeseca od dana uvođenja u posao")</f>
        <v>29.09.2014.
4 mjeseca od dana uvođenja u posao</v>
      </c>
      <c r="H2011" s="1" t="str">
        <f>CONCATENATE("1. Zajednica ponuditelja: ",CHAR(10),"    PEEK PROMET D.O.O., ZAGREB",CHAR(10),"    GEODETIKA D.O.O., ZAGREB")</f>
        <v>1. Zajednica ponuditelja: 
    PEEK PROMET D.O.O., ZAGREB
    GEODETIKA D.O.O., ZAGREB</v>
      </c>
      <c r="I2011" s="2"/>
      <c r="J2011" s="1"/>
      <c r="K2011" s="2"/>
    </row>
    <row r="2012" spans="1:11" ht="47.25" x14ac:dyDescent="0.25">
      <c r="A2012" s="1" t="str">
        <f>"595/2014"</f>
        <v>595/2014</v>
      </c>
      <c r="B2012" s="1" t="s">
        <v>136</v>
      </c>
      <c r="C2012" s="1" t="s">
        <v>916</v>
      </c>
      <c r="D2012" s="1" t="str">
        <f>CONCATENATE("2014-621",CHAR(10),"2014/S 002-0031263 od 26.06.2014.")</f>
        <v>2014-621
2014/S 002-0031263 od 26.06.2014.</v>
      </c>
      <c r="E2012" s="1" t="s">
        <v>366</v>
      </c>
      <c r="F2012" s="1" t="str">
        <f>"38.820.545,00"</f>
        <v>38.820.545,00</v>
      </c>
      <c r="G2012" s="1" t="str">
        <f>CONCATENATE("30.09.2014.",CHAR(10),"2 godine")</f>
        <v>30.09.2014.
2 godine</v>
      </c>
      <c r="H2012" s="1" t="str">
        <f>CONCATENATE("IKOM D.O.O., ZAGREB-SUSEDGRAD")</f>
        <v>IKOM D.O.O., ZAGREB-SUSEDGRAD</v>
      </c>
      <c r="I2012" s="2"/>
      <c r="J2012" s="1"/>
      <c r="K2012" s="1" t="s">
        <v>607</v>
      </c>
    </row>
    <row r="2013" spans="1:11" ht="47.25" x14ac:dyDescent="0.25">
      <c r="A2013" s="1" t="str">
        <f>"596/2014"</f>
        <v>596/2014</v>
      </c>
      <c r="B2013" s="1" t="s">
        <v>14</v>
      </c>
      <c r="C2013" s="1" t="s">
        <v>917</v>
      </c>
      <c r="D2013" s="1" t="str">
        <f>CONCATENATE("2331-2014-EMV",CHAR(10),"2014/S 002-0033667 od 10.07.2014.")</f>
        <v>2331-2014-EMV
2014/S 002-0033667 od 10.07.2014.</v>
      </c>
      <c r="E2013" s="1" t="s">
        <v>15</v>
      </c>
      <c r="F2013" s="1" t="str">
        <f>"434.500,00"</f>
        <v>434.500,00</v>
      </c>
      <c r="G2013" s="1" t="str">
        <f>CONCATENATE("30.09.2014.",CHAR(10),"20.6.2014")</f>
        <v>30.09.2014.
20.6.2014</v>
      </c>
      <c r="H2013" s="1" t="str">
        <f>CONCATENATE("HERC TOURS D.O.O., DARUVAR")</f>
        <v>HERC TOURS D.O.O., DARUVAR</v>
      </c>
      <c r="I2013" s="2"/>
      <c r="J2013" s="1"/>
      <c r="K2013" s="2"/>
    </row>
    <row r="2014" spans="1:11" ht="47.25" x14ac:dyDescent="0.25">
      <c r="A2014" s="1" t="str">
        <f>"598/2014"</f>
        <v>598/2014</v>
      </c>
      <c r="B2014" s="1" t="s">
        <v>14</v>
      </c>
      <c r="C2014" s="1" t="s">
        <v>918</v>
      </c>
      <c r="D2014" s="1" t="str">
        <f>CONCATENATE("303-2014-EMV",CHAR(10),"2014/S-002-0008766 od 21.02.2014.")</f>
        <v>303-2014-EMV
2014/S-002-0008766 od 21.02.2014.</v>
      </c>
      <c r="E2014" s="1" t="s">
        <v>15</v>
      </c>
      <c r="F2014" s="1" t="str">
        <f>"477.360,20"</f>
        <v>477.360,20</v>
      </c>
      <c r="G2014" s="1" t="str">
        <f>CONCATENATE("30.09.2014.",CHAR(10),"12 mjeseci od dana uvođenja u posao")</f>
        <v>30.09.2014.
12 mjeseci od dana uvođenja u posao</v>
      </c>
      <c r="H2014" s="1" t="str">
        <f>CONCATENATE("LTG D.O.O., ZAGREB")</f>
        <v>LTG D.O.O., ZAGREB</v>
      </c>
      <c r="I2014" s="1" t="s">
        <v>919</v>
      </c>
      <c r="J2014" s="1" t="str">
        <f>SUBSTITUTE(SUBSTITUTE(SUBSTITUTE("596,700.25",".","-"),",","."),"-",",")</f>
        <v>596.700,25</v>
      </c>
      <c r="K2014" s="2"/>
    </row>
    <row r="2015" spans="1:11" ht="47.25" x14ac:dyDescent="0.25">
      <c r="A2015" s="1" t="str">
        <f>"600/2014"</f>
        <v>600/2014</v>
      </c>
      <c r="B2015" s="1" t="s">
        <v>14</v>
      </c>
      <c r="C2015" s="1" t="s">
        <v>920</v>
      </c>
      <c r="D2015" s="1" t="str">
        <f>CONCATENATE("5-2014-EMV",CHAR(10),"2014/S 015-0041169 od 01.09.2014.")</f>
        <v>5-2014-EMV
2014/S 015-0041169 od 01.09.2014.</v>
      </c>
      <c r="E2015" s="1" t="s">
        <v>40</v>
      </c>
      <c r="F2015" s="1" t="str">
        <f>"37.973,00"</f>
        <v>37.973,00</v>
      </c>
      <c r="G2015" s="1" t="str">
        <f>CONCATENATE("25.09.2014.",CHAR(10),"12 mjeseci")</f>
        <v>25.09.2014.
12 mjeseci</v>
      </c>
      <c r="H2015" s="1" t="str">
        <f>CONCATENATE("INTERPRETA USLUGE D.O.O., ZAGREB")</f>
        <v>INTERPRETA USLUGE D.O.O., ZAGREB</v>
      </c>
      <c r="I2015" s="2"/>
      <c r="J2015" s="1"/>
      <c r="K2015" s="2"/>
    </row>
    <row r="2016" spans="1:11" ht="47.25" x14ac:dyDescent="0.25">
      <c r="A2016" s="1" t="str">
        <f>"601/2014"</f>
        <v>601/2014</v>
      </c>
      <c r="B2016" s="1" t="s">
        <v>14</v>
      </c>
      <c r="C2016" s="1" t="s">
        <v>921</v>
      </c>
      <c r="D2016" s="1" t="str">
        <f>CONCATENATE("5-2014-EMV",CHAR(10),"2014/S 015-0041169 od 01.09.2014.")</f>
        <v>5-2014-EMV
2014/S 015-0041169 od 01.09.2014.</v>
      </c>
      <c r="E2016" s="1" t="s">
        <v>40</v>
      </c>
      <c r="F2016" s="1" t="str">
        <f>"106.100,00"</f>
        <v>106.100,00</v>
      </c>
      <c r="G2016" s="1" t="str">
        <f>CONCATENATE("25.09.2014.",CHAR(10),"12 MJESECI")</f>
        <v>25.09.2014.
12 MJESECI</v>
      </c>
      <c r="H2016" s="1" t="str">
        <f>CONCATENATE("INTERPRETA USLUGE D.O.O., ZAGREB")</f>
        <v>INTERPRETA USLUGE D.O.O., ZAGREB</v>
      </c>
      <c r="I2016" s="2"/>
      <c r="J2016" s="1"/>
      <c r="K2016" s="2"/>
    </row>
    <row r="2017" spans="1:11" ht="47.25" x14ac:dyDescent="0.25">
      <c r="A2017" s="1" t="str">
        <f>"602/2014"</f>
        <v>602/2014</v>
      </c>
      <c r="B2017" s="1" t="s">
        <v>136</v>
      </c>
      <c r="C2017" s="1" t="s">
        <v>922</v>
      </c>
      <c r="D2017" s="1" t="str">
        <f>CONCATENATE("2014-2427",CHAR(10),"2014/S 002-0036996 od 30.09.2014.")</f>
        <v>2014-2427
2014/S 002-0036996 od 30.09.2014.</v>
      </c>
      <c r="E2017" s="1" t="s">
        <v>366</v>
      </c>
      <c r="F2017" s="1" t="str">
        <f>"3.060.844,25"</f>
        <v>3.060.844,25</v>
      </c>
      <c r="G2017" s="1" t="str">
        <f>CONCATENATE("01.10.2014.",CHAR(10),"2 godine")</f>
        <v>01.10.2014.
2 godine</v>
      </c>
      <c r="H2017" s="1" t="str">
        <f>CONCATENATE("AUTO - MAG D.O.O., GORNJI STUPNIK")</f>
        <v>AUTO - MAG D.O.O., GORNJI STUPNIK</v>
      </c>
      <c r="I2017" s="2"/>
      <c r="J2017" s="1"/>
      <c r="K2017" s="1" t="s">
        <v>607</v>
      </c>
    </row>
    <row r="2018" spans="1:11" ht="47.25" x14ac:dyDescent="0.25">
      <c r="A2018" s="1" t="str">
        <f>"603/2014"</f>
        <v>603/2014</v>
      </c>
      <c r="B2018" s="1" t="s">
        <v>14</v>
      </c>
      <c r="C2018" s="1" t="s">
        <v>923</v>
      </c>
      <c r="D2018" s="1" t="str">
        <f>CONCATENATE("2515-2014-EMV",CHAR(10),"2014/S 002-0028092 od 05.06.2014.")</f>
        <v>2515-2014-EMV
2014/S 002-0028092 od 05.06.2014.</v>
      </c>
      <c r="E2018" s="1" t="s">
        <v>15</v>
      </c>
      <c r="F2018" s="1" t="str">
        <f>"349.920,00"</f>
        <v>349.920,00</v>
      </c>
      <c r="G2018" s="1" t="str">
        <f>CONCATENATE("30.09.2014.",CHAR(10),"12 mjeseci")</f>
        <v>30.09.2014.
12 mjeseci</v>
      </c>
      <c r="H2018" s="1" t="str">
        <f>CONCATENATE("KRISTAL BAZENI FONTANE D.O.O., ZAGREB")</f>
        <v>KRISTAL BAZENI FONTANE D.O.O., ZAGREB</v>
      </c>
      <c r="I2018" s="2"/>
      <c r="J2018" s="1"/>
      <c r="K2018" s="2"/>
    </row>
    <row r="2019" spans="1:11" ht="47.25" x14ac:dyDescent="0.25">
      <c r="A2019" s="1" t="str">
        <f>"604/2014"</f>
        <v>604/2014</v>
      </c>
      <c r="B2019" s="1" t="s">
        <v>14</v>
      </c>
      <c r="C2019" s="1" t="s">
        <v>924</v>
      </c>
      <c r="D2019" s="1" t="str">
        <f>CONCATENATE("1188-2014-EMV",CHAR(10),"2014/S-002-0031717 od 01.07.2014.")</f>
        <v>1188-2014-EMV
2014/S-002-0031717 od 01.07.2014.</v>
      </c>
      <c r="E2019" s="1" t="s">
        <v>15</v>
      </c>
      <c r="F2019" s="1" t="str">
        <f>"416.490,00"</f>
        <v>416.490,00</v>
      </c>
      <c r="G2019" s="1" t="str">
        <f>CONCATENATE("30.09.2014.",CHAR(10),"30 dana od dana uvođenja u posao")</f>
        <v>30.09.2014.
30 dana od dana uvođenja u posao</v>
      </c>
      <c r="H2019" s="1" t="str">
        <f>CONCATENATE("PISMORAD D.D., ZAGREB")</f>
        <v>PISMORAD D.D., ZAGREB</v>
      </c>
      <c r="I2019" s="2"/>
      <c r="J2019" s="1"/>
      <c r="K2019" s="2"/>
    </row>
    <row r="2020" spans="1:11" ht="47.25" x14ac:dyDescent="0.25">
      <c r="A2020" s="1" t="str">
        <f>"605/2014"</f>
        <v>605/2014</v>
      </c>
      <c r="B2020" s="1" t="s">
        <v>14</v>
      </c>
      <c r="C2020" s="1" t="s">
        <v>925</v>
      </c>
      <c r="D2020" s="1" t="str">
        <f>CONCATENATE("1383-2014-EMV",CHAR(10),"2014/S 002-0024340 od 15.05.2014.")</f>
        <v>1383-2014-EMV
2014/S 002-0024340 od 15.05.2014.</v>
      </c>
      <c r="E2020" s="1" t="s">
        <v>15</v>
      </c>
      <c r="F2020" s="1" t="str">
        <f>"154.000,00"</f>
        <v>154.000,00</v>
      </c>
      <c r="G2020" s="1" t="str">
        <f>CONCATENATE("01.10.2014.",CHAR(10),"90 dana")</f>
        <v>01.10.2014.
90 dana</v>
      </c>
      <c r="H2020" s="1" t="str">
        <f>CONCATENATE("FANOS D.O.O., ZAGREB")</f>
        <v>FANOS D.O.O., ZAGREB</v>
      </c>
      <c r="I2020" s="2"/>
      <c r="J2020" s="1"/>
      <c r="K2020" s="2"/>
    </row>
    <row r="2021" spans="1:11" ht="47.25" x14ac:dyDescent="0.25">
      <c r="A2021" s="1" t="str">
        <f>"606/2014"</f>
        <v>606/2014</v>
      </c>
      <c r="B2021" s="1" t="s">
        <v>14</v>
      </c>
      <c r="C2021" s="1" t="s">
        <v>926</v>
      </c>
      <c r="D2021" s="1" t="str">
        <f>CONCATENATE("2014-2123",CHAR(10),"2014/S 002-0035193 od 03.06.2014.")</f>
        <v>2014-2123
2014/S 002-0035193 od 03.06.2014.</v>
      </c>
      <c r="E2021" s="1" t="s">
        <v>15</v>
      </c>
      <c r="F2021" s="1" t="str">
        <f>"656.769,04"</f>
        <v>656.769,04</v>
      </c>
      <c r="G2021" s="1" t="str">
        <f>CONCATENATE("01.10.2014.",CHAR(10),"90 dana od dana uvođenja u posao")</f>
        <v>01.10.2014.
90 dana od dana uvođenja u posao</v>
      </c>
      <c r="H2021" s="1" t="str">
        <f>CONCATENATE("GEORAD D.O.O., ZAGREB")</f>
        <v>GEORAD D.O.O., ZAGREB</v>
      </c>
      <c r="I2021" s="2"/>
      <c r="J2021" s="1"/>
      <c r="K2021" s="1" t="s">
        <v>607</v>
      </c>
    </row>
    <row r="2022" spans="1:11" ht="78.75" x14ac:dyDescent="0.25">
      <c r="A2022" s="1" t="str">
        <f>"607/2014"</f>
        <v>607/2014</v>
      </c>
      <c r="B2022" s="1" t="s">
        <v>26</v>
      </c>
      <c r="C2022" s="1" t="s">
        <v>2849</v>
      </c>
      <c r="D2022" s="1" t="str">
        <f>"2014-45"</f>
        <v>2014-45</v>
      </c>
      <c r="E2022" s="2"/>
      <c r="F2022" s="1" t="str">
        <f>"1.155.674,00"</f>
        <v>1.155.674,00</v>
      </c>
      <c r="G2022" s="1" t="str">
        <f>CONCATENATE("01.10.2014.",CHAR(10),"30.4.2015")</f>
        <v>01.10.2014.
30.4.2015</v>
      </c>
      <c r="H2022" s="1" t="str">
        <f>CONCATENATE("ATRON ELECRRONIC GMBH, PODRUŽNICA ZAGREB, ZAGREB")</f>
        <v>ATRON ELECRRONIC GMBH, PODRUŽNICA ZAGREB, ZAGREB</v>
      </c>
      <c r="I2022" s="2"/>
      <c r="J2022" s="1"/>
      <c r="K2022" s="1" t="s">
        <v>607</v>
      </c>
    </row>
    <row r="2023" spans="1:11" ht="47.25" x14ac:dyDescent="0.25">
      <c r="A2023" s="1" t="str">
        <f>"608/2014"</f>
        <v>608/2014</v>
      </c>
      <c r="B2023" s="1" t="s">
        <v>14</v>
      </c>
      <c r="C2023" s="1" t="s">
        <v>927</v>
      </c>
      <c r="D2023" s="1" t="str">
        <f>CONCATENATE("2014-2273",CHAR(10),"2014/S 015-0038189 od 06.08.2014.")</f>
        <v>2014-2273
2014/S 015-0038189 od 06.08.2014.</v>
      </c>
      <c r="E2023" s="1" t="s">
        <v>12</v>
      </c>
      <c r="F2023" s="1" t="str">
        <f>"7.052.047,60"</f>
        <v>7.052.047,60</v>
      </c>
      <c r="G2023" s="1" t="str">
        <f>CONCATENATE("01.10.2014.",CHAR(10),"2 godine od dana potpisa ugovora i uvođenja u posao")</f>
        <v>01.10.2014.
2 godine od dana potpisa ugovora i uvođenja u posao</v>
      </c>
      <c r="H2023" s="1" t="str">
        <f>CONCATENATE("ZAGREBAČKI HOLDING D.O.O., PODRUŽNICA ZAGREBAČKE CESTE, ZAGREB")</f>
        <v>ZAGREBAČKI HOLDING D.O.O., PODRUŽNICA ZAGREBAČKE CESTE, ZAGREB</v>
      </c>
      <c r="I2023" s="2"/>
      <c r="J2023" s="1"/>
      <c r="K2023" s="1" t="s">
        <v>607</v>
      </c>
    </row>
    <row r="2024" spans="1:11" ht="110.25" x14ac:dyDescent="0.25">
      <c r="A2024" s="1" t="str">
        <f>"609/2014"</f>
        <v>609/2014</v>
      </c>
      <c r="B2024" s="1" t="s">
        <v>136</v>
      </c>
      <c r="C2024" s="1" t="s">
        <v>928</v>
      </c>
      <c r="D2024" s="1" t="str">
        <f>CONCATENATE("2014-2282",CHAR(10),"2014/S-002-0031785. od 01.07.2014.")</f>
        <v>2014-2282
2014/S-002-0031785. od 01.07.2014.</v>
      </c>
      <c r="E2024" s="1" t="s">
        <v>366</v>
      </c>
      <c r="F2024" s="1" t="str">
        <f>"5.320.418,00"</f>
        <v>5.320.418,00</v>
      </c>
      <c r="G2024" s="1" t="str">
        <f>CONCATENATE("01.10.2014.",CHAR(10),"2 godine")</f>
        <v>01.10.2014.
2 godine</v>
      </c>
      <c r="H2024" s="1" t="str">
        <f>CONCATENATE("1. Zajednica ponuditelja: ",CHAR(10),"    SARD D.O.O, DONJI STUPNIK",CHAR(10),"    NERING D.O.O., SESVETE",CHAR(10),"2. KLESS D.O.O., SESVETE",CHAR(10),"3. Zajednica ponuditelja: ",CHAR(10),"    PALMA D.O.O., JASTREBARSKO",CHAR(10),"    VILAMONT  D.O.O., JABLANICA")</f>
        <v>1. Zajednica ponuditelja: 
    SARD D.O.O, DONJI STUPNIK
    NERING D.O.O., SESVETE
2. KLESS D.O.O., SESVETE
3. Zajednica ponuditelja: 
    PALMA D.O.O., JASTREBARSKO
    VILAMONT  D.O.O., JABLANICA</v>
      </c>
      <c r="I2024" s="2"/>
      <c r="J2024" s="1"/>
      <c r="K2024" s="1" t="s">
        <v>607</v>
      </c>
    </row>
    <row r="2025" spans="1:11" ht="94.5" x14ac:dyDescent="0.25">
      <c r="A2025" s="1" t="str">
        <f>"612/2014"</f>
        <v>612/2014</v>
      </c>
      <c r="B2025" s="1" t="s">
        <v>26</v>
      </c>
      <c r="C2025" s="1" t="s">
        <v>2850</v>
      </c>
      <c r="D2025" s="1" t="str">
        <f>"482-2013-EVV"</f>
        <v>482-2013-EVV</v>
      </c>
      <c r="E2025" s="2"/>
      <c r="F2025" s="1" t="str">
        <f>"192.405,25"</f>
        <v>192.405,25</v>
      </c>
      <c r="G2025" s="1" t="str">
        <f>CONCATENATE("02.10.2014.",CHAR(10),"12 mjeseci")</f>
        <v>02.10.2014.
12 mjeseci</v>
      </c>
      <c r="H2025" s="1" t="str">
        <f>CONCATENATE("AGRO-VIR D.O.O., ZAGREB")</f>
        <v>AGRO-VIR D.O.O., ZAGREB</v>
      </c>
      <c r="I2025" s="2"/>
      <c r="J2025" s="1"/>
      <c r="K2025" s="2"/>
    </row>
    <row r="2026" spans="1:11" ht="78.75" x14ac:dyDescent="0.25">
      <c r="A2026" s="1" t="str">
        <f>"613/2014"</f>
        <v>613/2014</v>
      </c>
      <c r="B2026" s="1" t="s">
        <v>26</v>
      </c>
      <c r="C2026" s="1" t="s">
        <v>2851</v>
      </c>
      <c r="D2026" s="1" t="str">
        <f>"482-2013-EVV"</f>
        <v>482-2013-EVV</v>
      </c>
      <c r="E2026" s="2"/>
      <c r="F2026" s="1" t="str">
        <f>"257.173,00"</f>
        <v>257.173,00</v>
      </c>
      <c r="G2026" s="1" t="str">
        <f>CONCATENATE("02.10.2014.",CHAR(10),"12 mjeseci")</f>
        <v>02.10.2014.
12 mjeseci</v>
      </c>
      <c r="H2026" s="1" t="str">
        <f>CONCATENATE("AGRO-VIR D.O.O., ZAGREB")</f>
        <v>AGRO-VIR D.O.O., ZAGREB</v>
      </c>
      <c r="I2026" s="2"/>
      <c r="J2026" s="1"/>
      <c r="K2026" s="2"/>
    </row>
    <row r="2027" spans="1:11" ht="94.5" x14ac:dyDescent="0.25">
      <c r="A2027" s="1" t="str">
        <f>"615/2014"</f>
        <v>615/2014</v>
      </c>
      <c r="B2027" s="1" t="s">
        <v>26</v>
      </c>
      <c r="C2027" s="1" t="s">
        <v>2852</v>
      </c>
      <c r="D2027" s="1" t="str">
        <f>"482-2013-EVV"</f>
        <v>482-2013-EVV</v>
      </c>
      <c r="E2027" s="2"/>
      <c r="F2027" s="1" t="str">
        <f>"254.888,50"</f>
        <v>254.888,50</v>
      </c>
      <c r="G2027" s="1" t="str">
        <f>CONCATENATE("02.10.2014.",CHAR(10),"12 mjeseci")</f>
        <v>02.10.2014.
12 mjeseci</v>
      </c>
      <c r="H2027" s="1" t="str">
        <f>CONCATENATE("AGRO-VIR D.O.O., ZAGREB")</f>
        <v>AGRO-VIR D.O.O., ZAGREB</v>
      </c>
      <c r="I2027" s="2"/>
      <c r="J2027" s="1"/>
      <c r="K2027" s="2"/>
    </row>
    <row r="2028" spans="1:11" ht="78.75" x14ac:dyDescent="0.25">
      <c r="A2028" s="1" t="str">
        <f>"617/2014"</f>
        <v>617/2014</v>
      </c>
      <c r="B2028" s="1" t="s">
        <v>26</v>
      </c>
      <c r="C2028" s="1" t="s">
        <v>2853</v>
      </c>
      <c r="D2028" s="1" t="str">
        <f>"482-2013-EVV"</f>
        <v>482-2013-EVV</v>
      </c>
      <c r="E2028" s="2"/>
      <c r="F2028" s="1" t="str">
        <f>"189.728,00"</f>
        <v>189.728,00</v>
      </c>
      <c r="G2028" s="1" t="str">
        <f>CONCATENATE("02.10.2014.",CHAR(10),"12 mjeseci")</f>
        <v>02.10.2014.
12 mjeseci</v>
      </c>
      <c r="H2028" s="1" t="str">
        <f>CONCATENATE("AGRO-VIR D.O.O., ZAGREB")</f>
        <v>AGRO-VIR D.O.O., ZAGREB</v>
      </c>
      <c r="I2028" s="2"/>
      <c r="J2028" s="1"/>
      <c r="K2028" s="2"/>
    </row>
    <row r="2029" spans="1:11" ht="47.25" x14ac:dyDescent="0.25">
      <c r="A2029" s="1" t="str">
        <f>"618/2014"</f>
        <v>618/2014</v>
      </c>
      <c r="B2029" s="1" t="s">
        <v>14</v>
      </c>
      <c r="C2029" s="1" t="s">
        <v>929</v>
      </c>
      <c r="D2029" s="1" t="str">
        <f>CONCATENATE("2757-2014-EMV",CHAR(10),"2014/S 002-0035518 od 21.07.2014.")</f>
        <v>2757-2014-EMV
2014/S 002-0035518 od 21.07.2014.</v>
      </c>
      <c r="E2029" s="1" t="s">
        <v>15</v>
      </c>
      <c r="F2029" s="1" t="str">
        <f>"784.818,00"</f>
        <v>784.818,00</v>
      </c>
      <c r="G2029" s="1" t="str">
        <f>CONCATENATE("30.09.2014.",CHAR(10),"30 dana od dana uvođenja u posao")</f>
        <v>30.09.2014.
30 dana od dana uvođenja u posao</v>
      </c>
      <c r="H2029" s="1" t="str">
        <f>CONCATENATE("NERING D.O.O., SESVETE")</f>
        <v>NERING D.O.O., SESVETE</v>
      </c>
      <c r="I2029" s="2"/>
      <c r="J2029" s="1"/>
      <c r="K2029" s="2"/>
    </row>
    <row r="2030" spans="1:11" ht="63" x14ac:dyDescent="0.25">
      <c r="A2030" s="1" t="str">
        <f>"619/2014"</f>
        <v>619/2014</v>
      </c>
      <c r="B2030" s="1" t="s">
        <v>14</v>
      </c>
      <c r="C2030" s="1" t="s">
        <v>930</v>
      </c>
      <c r="D2030" s="1" t="str">
        <f>CONCATENATE("2014-126",CHAR(10),"2014/S-002-0023358 od 09.05.2014.")</f>
        <v>2014-126
2014/S-002-0023358 od 09.05.2014.</v>
      </c>
      <c r="E2030" s="1" t="s">
        <v>15</v>
      </c>
      <c r="F2030" s="1" t="str">
        <f>"3.893.680,00"</f>
        <v>3.893.680,00</v>
      </c>
      <c r="G2030" s="1" t="str">
        <f>CONCATENATE("02.10.2014.",CHAR(10),"sukcesivno prema pojedinačnim narudžbenicama naručitelja")</f>
        <v>02.10.2014.
sukcesivno prema pojedinačnim narudžbenicama naručitelja</v>
      </c>
      <c r="H2030" s="1" t="str">
        <f>CONCATENATE("URIHO - USTANOVA ZA PROFESIONALNU REHABILITACIJU I ZAPOŠLJAVANJE OSOBA S INVALIDITETOM, ZAGREB")</f>
        <v>URIHO - USTANOVA ZA PROFESIONALNU REHABILITACIJU I ZAPOŠLJAVANJE OSOBA S INVALIDITETOM, ZAGREB</v>
      </c>
      <c r="I2030" s="2"/>
      <c r="J2030" s="1"/>
      <c r="K2030" s="1" t="s">
        <v>607</v>
      </c>
    </row>
    <row r="2031" spans="1:11" ht="47.25" x14ac:dyDescent="0.25">
      <c r="A2031" s="1" t="str">
        <f>"620/2014"</f>
        <v>620/2014</v>
      </c>
      <c r="B2031" s="1" t="s">
        <v>14</v>
      </c>
      <c r="C2031" s="1" t="s">
        <v>931</v>
      </c>
      <c r="D2031" s="1" t="str">
        <f>CONCATENATE("2014-2118",CHAR(10),"2014/S 002-0035134 od 18.07.2014.")</f>
        <v>2014-2118
2014/S 002-0035134 od 18.07.2014.</v>
      </c>
      <c r="E2031" s="1" t="s">
        <v>15</v>
      </c>
      <c r="F2031" s="1" t="str">
        <f>"1.366.620,00"</f>
        <v>1.366.620,00</v>
      </c>
      <c r="G2031" s="1" t="str">
        <f>CONCATENATE("02.10.2014.",CHAR(10),"150 dana od dana uvođenja u posao")</f>
        <v>02.10.2014.
150 dana od dana uvođenja u posao</v>
      </c>
      <c r="H2031" s="1" t="str">
        <f>CONCATENATE("PALIR D.O.O., ZAGREB")</f>
        <v>PALIR D.O.O., ZAGREB</v>
      </c>
      <c r="I2031" s="2"/>
      <c r="J2031" s="1"/>
      <c r="K2031" s="1" t="s">
        <v>607</v>
      </c>
    </row>
    <row r="2032" spans="1:11" ht="63" x14ac:dyDescent="0.25">
      <c r="A2032" s="1" t="str">
        <f>"622/2014"</f>
        <v>622/2014</v>
      </c>
      <c r="B2032" s="1" t="s">
        <v>26</v>
      </c>
      <c r="C2032" s="1" t="s">
        <v>932</v>
      </c>
      <c r="D2032" s="1" t="str">
        <f>"Z-2014-1"</f>
        <v>Z-2014-1</v>
      </c>
      <c r="E2032" s="2"/>
      <c r="F2032" s="1" t="str">
        <f>"249.333,35"</f>
        <v>249.333,35</v>
      </c>
      <c r="G2032" s="1" t="str">
        <f>CONCATENATE("06.10.2014.",CHAR(10),"30.6.2015")</f>
        <v>06.10.2014.
30.6.2015</v>
      </c>
      <c r="H2032" s="1" t="str">
        <f>CONCATENATE("1. Zajednica ponuditelja: ",CHAR(10),"    ZVIBOR D.O.O., ZAGREB",CHAR(10),"    TIP-ZAGREB D.O.O., ZAGREB",CHAR(10),"    FOKUS D.O.O., ZAGREB")</f>
        <v>1. Zajednica ponuditelja: 
    ZVIBOR D.O.O., ZAGREB
    TIP-ZAGREB D.O.O., ZAGREB
    FOKUS D.O.O., ZAGREB</v>
      </c>
      <c r="I2032" s="2"/>
      <c r="J2032" s="1"/>
      <c r="K2032" s="1" t="s">
        <v>607</v>
      </c>
    </row>
    <row r="2033" spans="1:11" ht="47.25" x14ac:dyDescent="0.25">
      <c r="A2033" s="1" t="str">
        <f>"623/2014"</f>
        <v>623/2014</v>
      </c>
      <c r="B2033" s="1" t="s">
        <v>136</v>
      </c>
      <c r="C2033" s="1" t="s">
        <v>933</v>
      </c>
      <c r="D2033" s="1" t="str">
        <f>CONCATENATE("2014-507",CHAR(10),"2014/S 002-0032075 od 02.07.2014.")</f>
        <v>2014-507
2014/S 002-0032075 od 02.07.2014.</v>
      </c>
      <c r="E2033" s="1" t="s">
        <v>366</v>
      </c>
      <c r="F2033" s="1" t="str">
        <f>"7.773.521,09"</f>
        <v>7.773.521,09</v>
      </c>
      <c r="G2033" s="1" t="str">
        <f>CONCATENATE("03.10.2014.",CHAR(10),"2 godine")</f>
        <v>03.10.2014.
2 godine</v>
      </c>
      <c r="H2033" s="1" t="str">
        <f>CONCATENATE("KING ICT D.O.O., ZAGREB",CHAR(10),"EBC SISTEMI D.O.O., ZAGREB")</f>
        <v>KING ICT D.O.O., ZAGREB
EBC SISTEMI D.O.O., ZAGREB</v>
      </c>
      <c r="I2033" s="2"/>
      <c r="J2033" s="1"/>
      <c r="K2033" s="1" t="s">
        <v>607</v>
      </c>
    </row>
    <row r="2034" spans="1:11" ht="47.25" x14ac:dyDescent="0.25">
      <c r="A2034" s="1" t="str">
        <f>"624/2014"</f>
        <v>624/2014</v>
      </c>
      <c r="B2034" s="1" t="s">
        <v>136</v>
      </c>
      <c r="C2034" s="1" t="s">
        <v>2854</v>
      </c>
      <c r="D2034" s="1" t="str">
        <f>CONCATENATE("2014-2206",CHAR(10),"2014/S 002-28422 od 06.06.2014.")</f>
        <v>2014-2206
2014/S 002-28422 od 06.06.2014.</v>
      </c>
      <c r="E2034" s="1" t="s">
        <v>366</v>
      </c>
      <c r="F2034" s="1" t="str">
        <f>"1.249.820,00"</f>
        <v>1.249.820,00</v>
      </c>
      <c r="G2034" s="1" t="str">
        <f>CONCATENATE("03.10.2014.",CHAR(10),"2 godine")</f>
        <v>03.10.2014.
2 godine</v>
      </c>
      <c r="H2034" s="1" t="str">
        <f>CONCATENATE("HM-PATRIA D.O.O., ZAGREB",CHAR(10),"MIRAD D.O.O., ZAGREB")</f>
        <v>HM-PATRIA D.O.O., ZAGREB
MIRAD D.O.O., ZAGREB</v>
      </c>
      <c r="I2034" s="2"/>
      <c r="J2034" s="1"/>
      <c r="K2034" s="1" t="s">
        <v>607</v>
      </c>
    </row>
    <row r="2035" spans="1:11" ht="47.25" x14ac:dyDescent="0.25">
      <c r="A2035" s="1" t="str">
        <f>"625/2014"</f>
        <v>625/2014</v>
      </c>
      <c r="B2035" s="1" t="s">
        <v>14</v>
      </c>
      <c r="C2035" s="1" t="s">
        <v>934</v>
      </c>
      <c r="D2035" s="1" t="str">
        <f>CONCATENATE("2014-2072",CHAR(10),"2014/S 002-0035488 od 21.07.2014.")</f>
        <v>2014-2072
2014/S 002-0035488 od 21.07.2014.</v>
      </c>
      <c r="E2035" s="1" t="s">
        <v>15</v>
      </c>
      <c r="F2035" s="1" t="str">
        <f>"304.551,20"</f>
        <v>304.551,20</v>
      </c>
      <c r="G2035" s="1" t="str">
        <f>CONCATENATE("02.10.2014.",CHAR(10),"45 dana od dana uvođenja u posao")</f>
        <v>02.10.2014.
45 dana od dana uvođenja u posao</v>
      </c>
      <c r="H2035" s="1" t="str">
        <f>CONCATENATE("AMB GRADNJA D.O.O., ZAGREB")</f>
        <v>AMB GRADNJA D.O.O., ZAGREB</v>
      </c>
      <c r="I2035" s="2"/>
      <c r="J2035" s="1"/>
      <c r="K2035" s="1" t="s">
        <v>607</v>
      </c>
    </row>
    <row r="2036" spans="1:11" ht="47.25" x14ac:dyDescent="0.25">
      <c r="A2036" s="1" t="str">
        <f>"629/2014"</f>
        <v>629/2014</v>
      </c>
      <c r="B2036" s="1" t="s">
        <v>14</v>
      </c>
      <c r="C2036" s="1" t="s">
        <v>2855</v>
      </c>
      <c r="D2036" s="1" t="str">
        <f>CONCATENATE("744-2012-EMV",CHAR(10),"2012/S 002-0027069 od 04.06.2012.")</f>
        <v>744-2012-EMV
2012/S 002-0027069 od 04.06.2012.</v>
      </c>
      <c r="E2036" s="1" t="s">
        <v>15</v>
      </c>
      <c r="F2036" s="1" t="str">
        <f>"332.447,50"</f>
        <v>332.447,50</v>
      </c>
      <c r="G2036" s="1" t="str">
        <f>CONCATENATE("06.10.2014.",CHAR(10),"5  mjeseci od dana uvođenja u posao")</f>
        <v>06.10.2014.
5  mjeseci od dana uvođenja u posao</v>
      </c>
      <c r="H2036" s="1" t="str">
        <f>CONCATENATE("HEDOM D.O.O., ZAGREB")</f>
        <v>HEDOM D.O.O., ZAGREB</v>
      </c>
      <c r="I2036" s="2"/>
      <c r="J2036" s="1"/>
      <c r="K2036" s="2"/>
    </row>
    <row r="2037" spans="1:11" ht="47.25" x14ac:dyDescent="0.25">
      <c r="A2037" s="1" t="str">
        <f>"630/2014"</f>
        <v>630/2014</v>
      </c>
      <c r="B2037" s="1" t="s">
        <v>136</v>
      </c>
      <c r="C2037" s="1" t="s">
        <v>935</v>
      </c>
      <c r="D2037" s="1" t="str">
        <f>CONCATENATE("2014-2251",CHAR(10),"2014/S 002-0035804 od 23.07.2014.")</f>
        <v>2014-2251
2014/S 002-0035804 od 23.07.2014.</v>
      </c>
      <c r="E2037" s="1" t="s">
        <v>366</v>
      </c>
      <c r="F2037" s="1" t="str">
        <f>"6.349.000,00"</f>
        <v>6.349.000,00</v>
      </c>
      <c r="G2037" s="1" t="str">
        <f>CONCATENATE("02.10.2014.",CHAR(10),"2 godine")</f>
        <v>02.10.2014.
2 godine</v>
      </c>
      <c r="H2037" s="1" t="str">
        <f>CONCATENATE("AGRO-HONOR D.O.O., BELI MANASTIR",CHAR(10),"BILO ZAGREB, ZAGREB")</f>
        <v>AGRO-HONOR D.O.O., BELI MANASTIR
BILO ZAGREB, ZAGREB</v>
      </c>
      <c r="I2037" s="2"/>
      <c r="J2037" s="1"/>
      <c r="K2037" s="1" t="s">
        <v>607</v>
      </c>
    </row>
    <row r="2038" spans="1:11" ht="63" x14ac:dyDescent="0.25">
      <c r="A2038" s="1" t="str">
        <f>"631/2014"</f>
        <v>631/2014</v>
      </c>
      <c r="B2038" s="1" t="s">
        <v>136</v>
      </c>
      <c r="C2038" s="1" t="s">
        <v>936</v>
      </c>
      <c r="D2038" s="1" t="str">
        <f>CONCATENATE("2014-2413",CHAR(10),"2014/S-002-0040081 od 25.08.2014.")</f>
        <v>2014-2413
2014/S-002-0040081 od 25.08.2014.</v>
      </c>
      <c r="E2038" s="1" t="s">
        <v>366</v>
      </c>
      <c r="F2038" s="1" t="str">
        <f>"1.395.050,00"</f>
        <v>1.395.050,00</v>
      </c>
      <c r="G2038" s="1" t="str">
        <f>CONCATENATE("03.10.2014.",CHAR(10),"2 godine")</f>
        <v>03.10.2014.
2 godine</v>
      </c>
      <c r="H2038" s="1" t="str">
        <f>CONCATENATE("GEOGIS D.O.O., ZAGREB")</f>
        <v>GEOGIS D.O.O., ZAGREB</v>
      </c>
      <c r="I2038" s="2"/>
      <c r="J2038" s="1"/>
      <c r="K2038" s="1" t="s">
        <v>607</v>
      </c>
    </row>
    <row r="2039" spans="1:11" ht="94.5" x14ac:dyDescent="0.25">
      <c r="A2039" s="1" t="str">
        <f>"632/2014"</f>
        <v>632/2014</v>
      </c>
      <c r="B2039" s="1" t="s">
        <v>14</v>
      </c>
      <c r="C2039" s="1" t="s">
        <v>937</v>
      </c>
      <c r="D2039" s="1" t="str">
        <f>CONCATENATE("2014-2105",CHAR(10),"2014/S-002-0024746 od 19.05.2014.")</f>
        <v>2014-2105
2014/S-002-0024746 od 19.05.2014.</v>
      </c>
      <c r="E2039" s="1" t="s">
        <v>15</v>
      </c>
      <c r="F2039" s="1" t="str">
        <f>"39.089.885,12"</f>
        <v>39.089.885,12</v>
      </c>
      <c r="G2039" s="1" t="str">
        <f>CONCATENATE("03.10.2014.",CHAR(10),"540 dana od dana uvođenja u posao")</f>
        <v>03.10.2014.
540 dana od dana uvođenja u posao</v>
      </c>
      <c r="H2039" s="1" t="str">
        <f>CONCATENATE("1. Zajednica ponuditelja: ",CHAR(10),"    TIGRA D.O.O., ZAGREB",CHAR(10),"    GEO-BIM D.O.O., SAMOBOR",CHAR(10),"    GRAĐEVINSKI LABORATORIJ D.O.O., ZAGREB",CHAR(10),"    NEXE GRADNJA D.O.O., NAŠICE")</f>
        <v>1. Zajednica ponuditelja: 
    TIGRA D.O.O., ZAGREB
    GEO-BIM D.O.O., SAMOBOR
    GRAĐEVINSKI LABORATORIJ D.O.O., ZAGREB
    NEXE GRADNJA D.O.O., NAŠICE</v>
      </c>
      <c r="I2039" s="2"/>
      <c r="J2039" s="1"/>
      <c r="K2039" s="1" t="s">
        <v>607</v>
      </c>
    </row>
    <row r="2040" spans="1:11" ht="47.25" x14ac:dyDescent="0.25">
      <c r="A2040" s="1" t="str">
        <f>"633/2014"</f>
        <v>633/2014</v>
      </c>
      <c r="B2040" s="1" t="s">
        <v>14</v>
      </c>
      <c r="C2040" s="1" t="s">
        <v>938</v>
      </c>
      <c r="D2040" s="1" t="str">
        <f>CONCATENATE("2540-2014-EMV",CHAR(10),"2014/S 002-0034003 od 11.07.2014.")</f>
        <v>2540-2014-EMV
2014/S 002-0034003 od 11.07.2014.</v>
      </c>
      <c r="E2040" s="1" t="s">
        <v>15</v>
      </c>
      <c r="F2040" s="1" t="str">
        <f>"3.636.621,00"</f>
        <v>3.636.621,00</v>
      </c>
      <c r="G2040" s="1" t="str">
        <f>CONCATENATE("03.10.2014.",CHAR(10),"60 dana od dan uvođenja u posao")</f>
        <v>03.10.2014.
60 dana od dan uvođenja u posao</v>
      </c>
      <c r="H2040" s="1" t="str">
        <f>CONCATENATE("HVAR D.O.O., SAMOBOR")</f>
        <v>HVAR D.O.O., SAMOBOR</v>
      </c>
      <c r="I2040" s="2"/>
      <c r="J2040" s="1"/>
      <c r="K2040" s="2"/>
    </row>
    <row r="2041" spans="1:11" ht="47.25" x14ac:dyDescent="0.25">
      <c r="A2041" s="1" t="str">
        <f>"634/2014"</f>
        <v>634/2014</v>
      </c>
      <c r="B2041" s="1" t="s">
        <v>14</v>
      </c>
      <c r="C2041" s="1" t="s">
        <v>939</v>
      </c>
      <c r="D2041" s="1" t="str">
        <f>CONCATENATE("1330-2014-EMV",CHAR(10),"2014/S 002-0035159 od 18.07.2014.")</f>
        <v>1330-2014-EMV
2014/S 002-0035159 od 18.07.2014.</v>
      </c>
      <c r="E2041" s="1" t="s">
        <v>15</v>
      </c>
      <c r="F2041" s="1" t="str">
        <f>"116.230,00"</f>
        <v>116.230,00</v>
      </c>
      <c r="G2041" s="1" t="str">
        <f>CONCATENATE("03.10.2014.",CHAR(10),"tijekom cijelog perioda izvođenja radova i opremanja")</f>
        <v>03.10.2014.
tijekom cijelog perioda izvođenja radova i opremanja</v>
      </c>
      <c r="H2041" s="1" t="str">
        <f>CONCATENATE("GEODATA PROJEKT D.O.O., ZAGREB")</f>
        <v>GEODATA PROJEKT D.O.O., ZAGREB</v>
      </c>
      <c r="I2041" s="2"/>
      <c r="J2041" s="1"/>
      <c r="K2041" s="2"/>
    </row>
    <row r="2042" spans="1:11" ht="47.25" x14ac:dyDescent="0.25">
      <c r="A2042" s="1" t="str">
        <f>"635/2014"</f>
        <v>635/2014</v>
      </c>
      <c r="B2042" s="1" t="s">
        <v>136</v>
      </c>
      <c r="C2042" s="1" t="s">
        <v>940</v>
      </c>
      <c r="D2042" s="1" t="str">
        <f>CONCATENATE("2014-2464",CHAR(10),"2014/S 002-0037950 od 04.08.2014.")</f>
        <v>2014-2464
2014/S 002-0037950 od 04.08.2014.</v>
      </c>
      <c r="E2042" s="1" t="s">
        <v>366</v>
      </c>
      <c r="F2042" s="1" t="str">
        <f>"732.000,00"</f>
        <v>732.000,00</v>
      </c>
      <c r="G2042" s="1" t="str">
        <f>CONCATENATE("03.10.2014.",CHAR(10),"2 godine")</f>
        <v>03.10.2014.
2 godine</v>
      </c>
      <c r="H2042" s="1" t="str">
        <f>CONCATENATE("CRODUX PLIN D.O.O., ZAGREB")</f>
        <v>CRODUX PLIN D.O.O., ZAGREB</v>
      </c>
      <c r="I2042" s="2"/>
      <c r="J2042" s="1"/>
      <c r="K2042" s="1" t="s">
        <v>607</v>
      </c>
    </row>
    <row r="2043" spans="1:11" ht="63" x14ac:dyDescent="0.25">
      <c r="A2043" s="1" t="str">
        <f>"636/2014"</f>
        <v>636/2014</v>
      </c>
      <c r="B2043" s="1" t="s">
        <v>14</v>
      </c>
      <c r="C2043" s="1" t="s">
        <v>941</v>
      </c>
      <c r="D2043" s="1" t="str">
        <f>CONCATENATE("1379-2014-EMV",CHAR(10),"2014/S-002-0026548 od 28.05.2014.")</f>
        <v>1379-2014-EMV
2014/S-002-0026548 od 28.05.2014.</v>
      </c>
      <c r="E2043" s="1" t="s">
        <v>15</v>
      </c>
      <c r="F2043" s="1" t="str">
        <f>"6.763.154,00"</f>
        <v>6.763.154,00</v>
      </c>
      <c r="G2043" s="1" t="str">
        <f>CONCATENATE("10.10.2014.",CHAR(10),"12 mjeseci")</f>
        <v>10.10.2014.
12 mjeseci</v>
      </c>
      <c r="H2043" s="1" t="str">
        <f>CONCATENATE("PISMORAD D.D., ZAGREB")</f>
        <v>PISMORAD D.D., ZAGREB</v>
      </c>
      <c r="I2043" s="2"/>
      <c r="J2043" s="1"/>
      <c r="K2043" s="2"/>
    </row>
    <row r="2044" spans="1:11" ht="78.75" x14ac:dyDescent="0.25">
      <c r="A2044" s="1" t="str">
        <f>"637/2014"</f>
        <v>637/2014</v>
      </c>
      <c r="B2044" s="1" t="s">
        <v>26</v>
      </c>
      <c r="C2044" s="1" t="s">
        <v>2856</v>
      </c>
      <c r="D2044" s="1" t="str">
        <f>"2014-2154"</f>
        <v>2014-2154</v>
      </c>
      <c r="E2044" s="2"/>
      <c r="F2044" s="1" t="str">
        <f>"1.041.400,00"</f>
        <v>1.041.400,00</v>
      </c>
      <c r="G2044" s="1" t="str">
        <f>CONCATENATE("09.10.2014.",CHAR(10),"31.01.2015")</f>
        <v>09.10.2014.
31.01.2015</v>
      </c>
      <c r="H2044" s="1" t="str">
        <f>CONCATENATE("GIP PIONIR D.O.O., ZAGREB")</f>
        <v>GIP PIONIR D.O.O., ZAGREB</v>
      </c>
      <c r="I2044" s="1" t="s">
        <v>942</v>
      </c>
      <c r="J2044" s="1" t="str">
        <f>SUBSTITUTE(SUBSTITUTE(SUBSTITUTE("968,095.98",".","-"),",","."),"-",",")</f>
        <v>968.095,98</v>
      </c>
      <c r="K2044" s="1" t="s">
        <v>607</v>
      </c>
    </row>
    <row r="2045" spans="1:11" ht="47.25" x14ac:dyDescent="0.25">
      <c r="A2045" s="1" t="str">
        <f>"638/2014"</f>
        <v>638/2014</v>
      </c>
      <c r="B2045" s="1" t="s">
        <v>14</v>
      </c>
      <c r="C2045" s="1" t="s">
        <v>943</v>
      </c>
      <c r="D2045" s="1" t="str">
        <f>CONCATENATE("2014-2115",CHAR(10),"2014/S 002-0029746 od 13.06.2014.")</f>
        <v>2014-2115
2014/S 002-0029746 od 13.06.2014.</v>
      </c>
      <c r="E2045" s="1" t="s">
        <v>15</v>
      </c>
      <c r="F2045" s="1" t="str">
        <f>"7.667.150,50"</f>
        <v>7.667.150,50</v>
      </c>
      <c r="G2045" s="1" t="str">
        <f>CONCATENATE("06.10.2014.",CHAR(10),"270 dana od dana uvođenja u posao")</f>
        <v>06.10.2014.
270 dana od dana uvođenja u posao</v>
      </c>
      <c r="H2045" s="1" t="str">
        <f>CONCATENATE("GEORAD D.O.O., ZAGREB")</f>
        <v>GEORAD D.O.O., ZAGREB</v>
      </c>
      <c r="I2045" s="2"/>
      <c r="J2045" s="1"/>
      <c r="K2045" s="1" t="s">
        <v>607</v>
      </c>
    </row>
    <row r="2046" spans="1:11" ht="47.25" x14ac:dyDescent="0.25">
      <c r="A2046" s="1" t="str">
        <f>"639/2014"</f>
        <v>639/2014</v>
      </c>
      <c r="B2046" s="1" t="s">
        <v>136</v>
      </c>
      <c r="C2046" s="1" t="s">
        <v>944</v>
      </c>
      <c r="D2046" s="1" t="str">
        <f>CONCATENATE("2014-58",CHAR(10),"2014/S 002-0033862 od 11.07.2014.")</f>
        <v>2014-58
2014/S 002-0033862 od 11.07.2014.</v>
      </c>
      <c r="E2046" s="1" t="s">
        <v>366</v>
      </c>
      <c r="F2046" s="1" t="str">
        <f>"8.199.530,16"</f>
        <v>8.199.530,16</v>
      </c>
      <c r="G2046" s="1" t="str">
        <f>CONCATENATE("07.10.2014.",CHAR(10),"2 godine")</f>
        <v>07.10.2014.
2 godine</v>
      </c>
      <c r="H2046" s="1" t="str">
        <f>CONCATENATE("TERRA JASKA D.O.O., STRMEC SAMOBORSKI")</f>
        <v>TERRA JASKA D.O.O., STRMEC SAMOBORSKI</v>
      </c>
      <c r="I2046" s="2"/>
      <c r="J2046" s="1"/>
      <c r="K2046" s="1" t="s">
        <v>607</v>
      </c>
    </row>
    <row r="2047" spans="1:11" ht="47.25" x14ac:dyDescent="0.25">
      <c r="A2047" s="1" t="str">
        <f>"A-114/2014"</f>
        <v>A-114/2014</v>
      </c>
      <c r="B2047" s="1" t="s">
        <v>11</v>
      </c>
      <c r="C2047" s="1" t="s">
        <v>945</v>
      </c>
      <c r="D2047" s="1" t="str">
        <f>"Z-2014-7"</f>
        <v>Z-2014-7</v>
      </c>
      <c r="E2047" s="2"/>
      <c r="F2047" s="1" t="str">
        <f>"0,00"</f>
        <v>0,00</v>
      </c>
      <c r="G2047" s="1" t="str">
        <f>"10.10.2014."</f>
        <v>10.10.2014.</v>
      </c>
      <c r="H2047" s="1" t="str">
        <f>CONCATENATE("PAMAJO D.O.O., ZAGREB")</f>
        <v>PAMAJO D.O.O., ZAGREB</v>
      </c>
      <c r="I2047" s="2"/>
      <c r="J2047" s="1"/>
      <c r="K2047" s="1" t="s">
        <v>607</v>
      </c>
    </row>
    <row r="2048" spans="1:11" ht="63" x14ac:dyDescent="0.25">
      <c r="A2048" s="1" t="str">
        <f>"A-115/2014"</f>
        <v>A-115/2014</v>
      </c>
      <c r="B2048" s="1" t="s">
        <v>11</v>
      </c>
      <c r="C2048" s="1" t="s">
        <v>946</v>
      </c>
      <c r="D2048" s="1" t="str">
        <f>"1680-2013-EMV"</f>
        <v>1680-2013-EMV</v>
      </c>
      <c r="E2048" s="2"/>
      <c r="F2048" s="1" t="str">
        <f>"65.460,00"</f>
        <v>65.460,00</v>
      </c>
      <c r="G2048" s="1" t="str">
        <f>"10.10.2014."</f>
        <v>10.10.2014.</v>
      </c>
      <c r="H2048" s="1" t="str">
        <f>CONCATENATE("SIGNALIZACIJA D.O.O., ZAGREB")</f>
        <v>SIGNALIZACIJA D.O.O., ZAGREB</v>
      </c>
      <c r="I2048" s="2"/>
      <c r="J2048" s="1"/>
      <c r="K2048" s="2"/>
    </row>
    <row r="2049" spans="1:11" ht="78.75" x14ac:dyDescent="0.25">
      <c r="A2049" s="1" t="str">
        <f>"640/2014"</f>
        <v>640/2014</v>
      </c>
      <c r="B2049" s="1" t="s">
        <v>14</v>
      </c>
      <c r="C2049" s="1" t="s">
        <v>947</v>
      </c>
      <c r="D2049" s="1" t="str">
        <f>CONCATENATE("2068-2014-EBV",CHAR(10),"2014/S 015-0044511 od 24.09.2014.")</f>
        <v>2068-2014-EBV
2014/S 015-0044511 od 24.09.2014.</v>
      </c>
      <c r="E2049" s="1" t="s">
        <v>12</v>
      </c>
      <c r="F2049" s="1" t="str">
        <f>"269.412,05"</f>
        <v>269.412,05</v>
      </c>
      <c r="G2049" s="1" t="str">
        <f>CONCATENATE("13.10.2014.",CHAR(10),"60 dana od dana uvođenja u posao")</f>
        <v>13.10.2014.
60 dana od dana uvođenja u posao</v>
      </c>
      <c r="H2049" s="1" t="str">
        <f>CONCATENATE("GRADITELJ SVRATIŠTA D.O.O., ZAGREB")</f>
        <v>GRADITELJ SVRATIŠTA D.O.O., ZAGREB</v>
      </c>
      <c r="I2049" s="1" t="s">
        <v>948</v>
      </c>
      <c r="J2049" s="1" t="str">
        <f>SUBSTITUTE(SUBSTITUTE(SUBSTITUTE("331,673.73",".","-"),",","."),"-",",")</f>
        <v>331.673,73</v>
      </c>
      <c r="K2049" s="2"/>
    </row>
    <row r="2050" spans="1:11" ht="47.25" x14ac:dyDescent="0.25">
      <c r="A2050" s="1" t="str">
        <f>"641/2014"</f>
        <v>641/2014</v>
      </c>
      <c r="B2050" s="1" t="s">
        <v>26</v>
      </c>
      <c r="C2050" s="1" t="s">
        <v>2857</v>
      </c>
      <c r="D2050" s="1" t="str">
        <f>"2014-31"</f>
        <v>2014-31</v>
      </c>
      <c r="E2050" s="2"/>
      <c r="F2050" s="1" t="str">
        <f>"519.890,00"</f>
        <v>519.890,00</v>
      </c>
      <c r="G2050" s="1" t="str">
        <f>CONCATENATE("13.10.2014.",CHAR(10),"31.08.2015")</f>
        <v>13.10.2014.
31.08.2015</v>
      </c>
      <c r="H2050" s="1" t="str">
        <f>CONCATENATE("PUČKO OTVORENO UČILIŠTE INVICTUS, ZAGREB")</f>
        <v>PUČKO OTVORENO UČILIŠTE INVICTUS, ZAGREB</v>
      </c>
      <c r="I2050" s="2"/>
      <c r="J2050" s="1"/>
      <c r="K2050" s="1" t="s">
        <v>607</v>
      </c>
    </row>
    <row r="2051" spans="1:11" ht="47.25" x14ac:dyDescent="0.25">
      <c r="A2051" s="1" t="str">
        <f>"642/2014"</f>
        <v>642/2014</v>
      </c>
      <c r="B2051" s="1" t="s">
        <v>136</v>
      </c>
      <c r="C2051" s="1" t="s">
        <v>949</v>
      </c>
      <c r="D2051" s="1" t="str">
        <f>CONCATENATE("587-2014-EMV",CHAR(10),"2014/S-002-0033908 od 14.07.2014.")</f>
        <v>587-2014-EMV
2014/S-002-0033908 od 14.07.2014.</v>
      </c>
      <c r="E2051" s="1" t="s">
        <v>366</v>
      </c>
      <c r="F2051" s="1" t="str">
        <f>"838.600,00"</f>
        <v>838.600,00</v>
      </c>
      <c r="G2051" s="1" t="str">
        <f>CONCATENATE("13.10.2014.",CHAR(10),"2 godine")</f>
        <v>13.10.2014.
2 godine</v>
      </c>
      <c r="H2051" s="1" t="str">
        <f>CONCATENATE("GRADITELJ SVRATIŠTA D.O.O., ZAGREB")</f>
        <v>GRADITELJ SVRATIŠTA D.O.O., ZAGREB</v>
      </c>
      <c r="I2051" s="2"/>
      <c r="J2051" s="1"/>
      <c r="K2051" s="2"/>
    </row>
    <row r="2052" spans="1:11" ht="47.25" x14ac:dyDescent="0.25">
      <c r="A2052" s="1" t="str">
        <f>"643/2014"</f>
        <v>643/2014</v>
      </c>
      <c r="B2052" s="1" t="s">
        <v>14</v>
      </c>
      <c r="C2052" s="1" t="s">
        <v>950</v>
      </c>
      <c r="D2052" s="1" t="str">
        <f>CONCATENATE("1262-2014-EMV",CHAR(10),"2014/S-002-0022750 od 06.05.2014.")</f>
        <v>1262-2014-EMV
2014/S-002-0022750 od 06.05.2014.</v>
      </c>
      <c r="E2052" s="1" t="s">
        <v>15</v>
      </c>
      <c r="F2052" s="1" t="str">
        <f>"24.625.377,28"</f>
        <v>24.625.377,28</v>
      </c>
      <c r="G2052" s="1" t="str">
        <f>CONCATENATE("10.10.2014.",CHAR(10),"150 dana od dana uvođenja u posao")</f>
        <v>10.10.2014.
150 dana od dana uvođenja u posao</v>
      </c>
      <c r="H2052" s="1" t="str">
        <f>CONCATENATE("VODOTEHNIKA D.D., ZAGREB")</f>
        <v>VODOTEHNIKA D.D., ZAGREB</v>
      </c>
      <c r="I2052" s="2"/>
      <c r="J2052" s="1"/>
      <c r="K2052" s="2"/>
    </row>
    <row r="2053" spans="1:11" ht="47.25" x14ac:dyDescent="0.25">
      <c r="A2053" s="1" t="str">
        <f>"644/2014"</f>
        <v>644/2014</v>
      </c>
      <c r="B2053" s="1" t="s">
        <v>14</v>
      </c>
      <c r="C2053" s="1" t="s">
        <v>951</v>
      </c>
      <c r="D2053" s="1" t="str">
        <f>CONCATENATE("1223-2014-EMV",CHAR(10),"2014/S 002-0035828 od 23.07.2014.")</f>
        <v>1223-2014-EMV
2014/S 002-0035828 od 23.07.2014.</v>
      </c>
      <c r="E2053" s="1" t="s">
        <v>15</v>
      </c>
      <c r="F2053" s="1" t="str">
        <f>"17.488.374,50"</f>
        <v>17.488.374,50</v>
      </c>
      <c r="G2053" s="1" t="str">
        <f>CONCATENATE("10.10.2014.",CHAR(10),"8 mjeseci od dana uvođenja u posao")</f>
        <v>10.10.2014.
8 mjeseci od dana uvođenja u posao</v>
      </c>
      <c r="H2053" s="1" t="str">
        <f>CONCATENATE("HM-PATRIA D.O.O., ZAGREB")</f>
        <v>HM-PATRIA D.O.O., ZAGREB</v>
      </c>
      <c r="I2053" s="2"/>
      <c r="J2053" s="1"/>
      <c r="K2053" s="2"/>
    </row>
    <row r="2054" spans="1:11" ht="47.25" x14ac:dyDescent="0.25">
      <c r="A2054" s="1" t="str">
        <f>"A-116/2014"</f>
        <v>A-116/2014</v>
      </c>
      <c r="B2054" s="1" t="s">
        <v>11</v>
      </c>
      <c r="C2054" s="1" t="s">
        <v>952</v>
      </c>
      <c r="D2054" s="1" t="str">
        <f>"2014-2278"</f>
        <v>2014-2278</v>
      </c>
      <c r="E2054" s="2"/>
      <c r="F2054" s="1" t="str">
        <f>"0,00"</f>
        <v>0,00</v>
      </c>
      <c r="G2054" s="1" t="str">
        <f>"14.10.2014."</f>
        <v>14.10.2014.</v>
      </c>
      <c r="H2054" s="1" t="str">
        <f>CONCATENATE("INSTAL-PROM D.O.O., ZAGREB")</f>
        <v>INSTAL-PROM D.O.O., ZAGREB</v>
      </c>
      <c r="I2054" s="2"/>
      <c r="J2054" s="1"/>
      <c r="K2054" s="1" t="s">
        <v>607</v>
      </c>
    </row>
    <row r="2055" spans="1:11" ht="47.25" x14ac:dyDescent="0.25">
      <c r="A2055" s="1" t="str">
        <f>"646/2014"</f>
        <v>646/2014</v>
      </c>
      <c r="B2055" s="1" t="s">
        <v>26</v>
      </c>
      <c r="C2055" s="1" t="s">
        <v>2858</v>
      </c>
      <c r="D2055" s="1" t="str">
        <f>"Z-2014-5"</f>
        <v>Z-2014-5</v>
      </c>
      <c r="E2055" s="2"/>
      <c r="F2055" s="1" t="str">
        <f>"203.466,90"</f>
        <v>203.466,90</v>
      </c>
      <c r="G2055" s="1" t="str">
        <f>CONCATENATE("14.10.2014.",CHAR(10),"12 mjeseci")</f>
        <v>14.10.2014.
12 mjeseci</v>
      </c>
      <c r="H2055" s="1" t="str">
        <f>CONCATENATE("1. Zajednica ponuditelja: ",CHAR(10),"    KONZUM D.D., ZAGREB",CHAR(10),"    ŽITNJAK D.D., ZAGREB")</f>
        <v>1. Zajednica ponuditelja: 
    KONZUM D.D., ZAGREB
    ŽITNJAK D.D., ZAGREB</v>
      </c>
      <c r="I2055" s="2"/>
      <c r="J2055" s="1"/>
      <c r="K2055" s="1" t="s">
        <v>607</v>
      </c>
    </row>
    <row r="2056" spans="1:11" ht="47.25" x14ac:dyDescent="0.25">
      <c r="A2056" s="1" t="str">
        <f>"648/2014"</f>
        <v>648/2014</v>
      </c>
      <c r="B2056" s="1" t="s">
        <v>26</v>
      </c>
      <c r="C2056" s="1" t="s">
        <v>953</v>
      </c>
      <c r="D2056" s="1" t="str">
        <f>"Z-2014-2"</f>
        <v>Z-2014-2</v>
      </c>
      <c r="E2056" s="2"/>
      <c r="F2056" s="1" t="str">
        <f>"653.097,50"</f>
        <v>653.097,50</v>
      </c>
      <c r="G2056" s="1" t="str">
        <f>CONCATENATE("15.10.2014.",CHAR(10),"1 godina")</f>
        <v>15.10.2014.
1 godina</v>
      </c>
      <c r="H2056" s="1" t="str">
        <f>CONCATENATE("BIRODOM D.O.O., LUČKO")</f>
        <v>BIRODOM D.O.O., LUČKO</v>
      </c>
      <c r="I2056" s="2"/>
      <c r="J2056" s="1"/>
      <c r="K2056" s="1" t="s">
        <v>607</v>
      </c>
    </row>
    <row r="2057" spans="1:11" ht="47.25" x14ac:dyDescent="0.25">
      <c r="A2057" s="1" t="str">
        <f>"649/2014"</f>
        <v>649/2014</v>
      </c>
      <c r="B2057" s="1" t="s">
        <v>14</v>
      </c>
      <c r="C2057" s="1" t="s">
        <v>954</v>
      </c>
      <c r="D2057" s="1" t="str">
        <f>CONCATENATE("2014-2145",CHAR(10),"2014/S 002-0035453 od 21.07.2014.")</f>
        <v>2014-2145
2014/S 002-0035453 od 21.07.2014.</v>
      </c>
      <c r="E2057" s="1" t="s">
        <v>15</v>
      </c>
      <c r="F2057" s="1" t="str">
        <f>"372.533,00"</f>
        <v>372.533,00</v>
      </c>
      <c r="G2057" s="1" t="str">
        <f>CONCATENATE("15.10.2014.",CHAR(10),"90 dana od dana uvođenja u posao")</f>
        <v>15.10.2014.
90 dana od dana uvođenja u posao</v>
      </c>
      <c r="H2057" s="1" t="str">
        <f>CONCATENATE("AMB GRADNJA D.O.O., ZAGREB")</f>
        <v>AMB GRADNJA D.O.O., ZAGREB</v>
      </c>
      <c r="I2057" s="2"/>
      <c r="J2057" s="1"/>
      <c r="K2057" s="1" t="s">
        <v>607</v>
      </c>
    </row>
    <row r="2058" spans="1:11" ht="63" x14ac:dyDescent="0.25">
      <c r="A2058" s="1" t="str">
        <f>"650/2014"</f>
        <v>650/2014</v>
      </c>
      <c r="B2058" s="1" t="s">
        <v>14</v>
      </c>
      <c r="C2058" s="1" t="s">
        <v>2859</v>
      </c>
      <c r="D2058" s="1" t="str">
        <f>CONCATENATE("2014-2331",CHAR(10),"2014/S 015-0045257 od 29.09.2014.")</f>
        <v>2014-2331
2014/S 015-0045257 od 29.09.2014.</v>
      </c>
      <c r="E2058" s="1" t="s">
        <v>12</v>
      </c>
      <c r="F2058" s="1" t="str">
        <f>"810.375,00"</f>
        <v>810.375,00</v>
      </c>
      <c r="G2058" s="1" t="str">
        <f>CONCATENATE("15.10.2014.",CHAR(10),"60 dana od dana uvođenja u posao")</f>
        <v>15.10.2014.
60 dana od dana uvođenja u posao</v>
      </c>
      <c r="H2058" s="1" t="str">
        <f>CONCATENATE("AMB GRADNJA D.O.O., ZAGREB")</f>
        <v>AMB GRADNJA D.O.O., ZAGREB</v>
      </c>
      <c r="I2058" s="2"/>
      <c r="J2058" s="1"/>
      <c r="K2058" s="1" t="s">
        <v>607</v>
      </c>
    </row>
    <row r="2059" spans="1:11" ht="47.25" x14ac:dyDescent="0.25">
      <c r="A2059" s="1" t="str">
        <f>"651/2014"</f>
        <v>651/2014</v>
      </c>
      <c r="B2059" s="1" t="s">
        <v>14</v>
      </c>
      <c r="C2059" s="1" t="s">
        <v>955</v>
      </c>
      <c r="D2059" s="1" t="str">
        <f>CONCATENATE("2014-2124",CHAR(10),"2014/S 002-0035737 od 22.07.2014.")</f>
        <v>2014-2124
2014/S 002-0035737 od 22.07.2014.</v>
      </c>
      <c r="E2059" s="1" t="s">
        <v>15</v>
      </c>
      <c r="F2059" s="1" t="str">
        <f>"1.017.987,00"</f>
        <v>1.017.987,00</v>
      </c>
      <c r="G2059" s="1" t="str">
        <f>CONCATENATE("15.10.2014.",CHAR(10),"150 dana od dana uvođenja u posao")</f>
        <v>15.10.2014.
150 dana od dana uvođenja u posao</v>
      </c>
      <c r="H2059" s="1" t="str">
        <f>CONCATENATE("AMB GRADNJA D.O.O., ZAGREB")</f>
        <v>AMB GRADNJA D.O.O., ZAGREB</v>
      </c>
      <c r="I2059" s="2"/>
      <c r="J2059" s="1"/>
      <c r="K2059" s="1" t="s">
        <v>607</v>
      </c>
    </row>
    <row r="2060" spans="1:11" ht="47.25" x14ac:dyDescent="0.25">
      <c r="A2060" s="1" t="str">
        <f>"652/2014"</f>
        <v>652/2014</v>
      </c>
      <c r="B2060" s="1" t="s">
        <v>14</v>
      </c>
      <c r="C2060" s="1" t="s">
        <v>956</v>
      </c>
      <c r="D2060" s="1" t="str">
        <f>CONCATENATE("2014-2358",CHAR(10),"2014/S-002-0041495 od 04.09.2014.")</f>
        <v>2014-2358
2014/S-002-0041495 od 04.09.2014.</v>
      </c>
      <c r="E2060" s="1" t="s">
        <v>15</v>
      </c>
      <c r="F2060" s="1" t="str">
        <f>"149.000,00"</f>
        <v>149.000,00</v>
      </c>
      <c r="G2060" s="1" t="str">
        <f>CONCATENATE("15.10.2014.",CHAR(10),"300 dana od dana obostranog potpisa Ugovora")</f>
        <v>15.10.2014.
300 dana od dana obostranog potpisa Ugovora</v>
      </c>
      <c r="H2060" s="1" t="str">
        <f>CONCATENATE("INOCON D.O.O., ZAGREB")</f>
        <v>INOCON D.O.O., ZAGREB</v>
      </c>
      <c r="I2060" s="2"/>
      <c r="J2060" s="1"/>
      <c r="K2060" s="1" t="s">
        <v>607</v>
      </c>
    </row>
    <row r="2061" spans="1:11" ht="47.25" x14ac:dyDescent="0.25">
      <c r="A2061" s="1" t="str">
        <f>"653/2014"</f>
        <v>653/2014</v>
      </c>
      <c r="B2061" s="1" t="s">
        <v>26</v>
      </c>
      <c r="C2061" s="1" t="s">
        <v>2860</v>
      </c>
      <c r="D2061" s="1" t="str">
        <f>"2014-2154"</f>
        <v>2014-2154</v>
      </c>
      <c r="E2061" s="2"/>
      <c r="F2061" s="1" t="str">
        <f>"301.550,00"</f>
        <v>301.550,00</v>
      </c>
      <c r="G2061" s="1" t="str">
        <f>CONCATENATE("17.10.2014.",CHAR(10),"30.04.2015")</f>
        <v>17.10.2014.
30.04.2015</v>
      </c>
      <c r="H2061" s="1" t="str">
        <f>CONCATENATE("SAMOBORKA D.D., SAMOBOR")</f>
        <v>SAMOBORKA D.D., SAMOBOR</v>
      </c>
      <c r="I2061" s="2"/>
      <c r="J2061" s="1"/>
      <c r="K2061" s="1" t="s">
        <v>607</v>
      </c>
    </row>
    <row r="2062" spans="1:11" ht="63" x14ac:dyDescent="0.25">
      <c r="A2062" s="1" t="str">
        <f>"654/2014"</f>
        <v>654/2014</v>
      </c>
      <c r="B2062" s="1" t="s">
        <v>26</v>
      </c>
      <c r="C2062" s="1" t="s">
        <v>957</v>
      </c>
      <c r="D2062" s="1" t="str">
        <f>"2014-107"</f>
        <v>2014-107</v>
      </c>
      <c r="E2062" s="2"/>
      <c r="F2062" s="1" t="str">
        <f>"7.620,00"</f>
        <v>7.620,00</v>
      </c>
      <c r="G2062" s="1" t="str">
        <f>CONCATENATE("17.10.2014.",CHAR(10),"31.12.2014")</f>
        <v>17.10.2014.
31.12.2014</v>
      </c>
      <c r="H2062" s="1" t="str">
        <f>CONCATENATE("1. Zajednica ponuditelja: ",CHAR(10),"    VINDIJA D.D., VARAŽDIN",CHAR(10),"    KOKA D.D., VARAŽDIN",CHAR(10),"    VINDON D.O.O., SLAVONSKI BROD")</f>
        <v>1. Zajednica ponuditelja: 
    VINDIJA D.D., VARAŽDIN
    KOKA D.D., VARAŽDIN
    VINDON D.O.O., SLAVONSKI BROD</v>
      </c>
      <c r="I2062" s="1" t="s">
        <v>958</v>
      </c>
      <c r="J2062" s="1" t="str">
        <f>SUBSTITUTE(SUBSTITUTE(SUBSTITUTE("7,316.25",".","-"),",","."),"-",",")</f>
        <v>7.316,25</v>
      </c>
      <c r="K2062" s="1" t="s">
        <v>607</v>
      </c>
    </row>
    <row r="2063" spans="1:11" ht="47.25" x14ac:dyDescent="0.25">
      <c r="A2063" s="1" t="str">
        <f>"655/2014"</f>
        <v>655/2014</v>
      </c>
      <c r="B2063" s="1" t="s">
        <v>14</v>
      </c>
      <c r="C2063" s="1" t="s">
        <v>959</v>
      </c>
      <c r="D2063" s="1" t="str">
        <f>CONCATENATE("2014-2070",CHAR(10),"2014/S 002-0035304 od 21.07.2014.")</f>
        <v>2014-2070
2014/S 002-0035304 od 21.07.2014.</v>
      </c>
      <c r="E2063" s="1" t="s">
        <v>15</v>
      </c>
      <c r="F2063" s="1" t="str">
        <f>"871.164,46"</f>
        <v>871.164,46</v>
      </c>
      <c r="G2063" s="1" t="str">
        <f>CONCATENATE("17.10.2014.",CHAR(10),"150 dana od dana uvođenja u posao")</f>
        <v>17.10.2014.
150 dana od dana uvođenja u posao</v>
      </c>
      <c r="H2063" s="1" t="str">
        <f>CONCATENATE("1. Zajednica ponuditelja: ",CHAR(10),"    GRADEX &amp; CO D.O.O., ZABOK",CHAR(10),"    GEO-BT D.O.O., ZABOK")</f>
        <v>1. Zajednica ponuditelja: 
    GRADEX &amp; CO D.O.O., ZABOK
    GEO-BT D.O.O., ZABOK</v>
      </c>
      <c r="I2063" s="2"/>
      <c r="J2063" s="1"/>
      <c r="K2063" s="1" t="s">
        <v>607</v>
      </c>
    </row>
    <row r="2064" spans="1:11" ht="47.25" x14ac:dyDescent="0.25">
      <c r="A2064" s="1" t="str">
        <f>"656/2014"</f>
        <v>656/2014</v>
      </c>
      <c r="B2064" s="1" t="s">
        <v>136</v>
      </c>
      <c r="C2064" s="1" t="s">
        <v>960</v>
      </c>
      <c r="D2064" s="1" t="str">
        <f>CONCATENATE("2014-2538",CHAR(10),"2014/S 002-0039885 od 22.08.2014.")</f>
        <v>2014-2538
2014/S 002-0039885 od 22.08.2014.</v>
      </c>
      <c r="E2064" s="1" t="s">
        <v>366</v>
      </c>
      <c r="F2064" s="1" t="str">
        <f>"4.025.000,00"</f>
        <v>4.025.000,00</v>
      </c>
      <c r="G2064" s="1" t="str">
        <f>CONCATENATE("17.10.2014.",CHAR(10),"2 godine")</f>
        <v>17.10.2014.
2 godine</v>
      </c>
      <c r="H2064" s="1" t="str">
        <f>CONCATENATE("I.B. JAZBINA, ZAGREB")</f>
        <v>I.B. JAZBINA, ZAGREB</v>
      </c>
      <c r="I2064" s="2"/>
      <c r="J2064" s="1"/>
      <c r="K2064" s="1" t="s">
        <v>607</v>
      </c>
    </row>
    <row r="2065" spans="1:11" ht="47.25" x14ac:dyDescent="0.25">
      <c r="A2065" s="1" t="str">
        <f>"657/2014"</f>
        <v>657/2014</v>
      </c>
      <c r="B2065" s="1" t="s">
        <v>14</v>
      </c>
      <c r="C2065" s="1" t="s">
        <v>961</v>
      </c>
      <c r="D2065" s="1" t="str">
        <f>CONCATENATE("2529-2014-EMV",CHAR(10),"2014/S-002-0033635 od 10.07.2014.")</f>
        <v>2529-2014-EMV
2014/S-002-0033635 od 10.07.2014.</v>
      </c>
      <c r="E2065" s="1" t="s">
        <v>15</v>
      </c>
      <c r="F2065" s="1" t="str">
        <f>"427.060,00"</f>
        <v>427.060,00</v>
      </c>
      <c r="G2065" s="1" t="str">
        <f>CONCATENATE("17.10.2014.",CHAR(10),"90 dana od dana obostranog potpisa Ugovora")</f>
        <v>17.10.2014.
90 dana od dana obostranog potpisa Ugovora</v>
      </c>
      <c r="H2065" s="1" t="str">
        <f>CONCATENATE("ZAVOD ZA FOTOGRAMETRIJU D.D., ZAGREB")</f>
        <v>ZAVOD ZA FOTOGRAMETRIJU D.D., ZAGREB</v>
      </c>
      <c r="I2065" s="2"/>
      <c r="J2065" s="1"/>
      <c r="K2065" s="2"/>
    </row>
    <row r="2066" spans="1:11" ht="47.25" x14ac:dyDescent="0.25">
      <c r="A2066" s="1" t="str">
        <f>"658/2014"</f>
        <v>658/2014</v>
      </c>
      <c r="B2066" s="1" t="s">
        <v>136</v>
      </c>
      <c r="C2066" s="1" t="s">
        <v>962</v>
      </c>
      <c r="D2066" s="1" t="str">
        <f>CONCATENATE("2014-238",CHAR(10),"2014/S 002-0033738 od 10.07.2014.")</f>
        <v>2014-238
2014/S 002-0033738 od 10.07.2014.</v>
      </c>
      <c r="E2066" s="1" t="s">
        <v>366</v>
      </c>
      <c r="F2066" s="1" t="str">
        <f>"611.375,88"</f>
        <v>611.375,88</v>
      </c>
      <c r="G2066" s="1" t="str">
        <f>CONCATENATE("17.10.2014.",CHAR(10),"2 godine")</f>
        <v>17.10.2014.
2 godine</v>
      </c>
      <c r="H2066" s="1" t="str">
        <f>CONCATENATE("SMIT COMMERCE D.O.O., GORNJI STUPNIK")</f>
        <v>SMIT COMMERCE D.O.O., GORNJI STUPNIK</v>
      </c>
      <c r="I2066" s="2"/>
      <c r="J2066" s="1"/>
      <c r="K2066" s="1" t="s">
        <v>607</v>
      </c>
    </row>
    <row r="2067" spans="1:11" ht="47.25" x14ac:dyDescent="0.25">
      <c r="A2067" s="1" t="str">
        <f>"659/2014"</f>
        <v>659/2014</v>
      </c>
      <c r="B2067" s="1" t="s">
        <v>136</v>
      </c>
      <c r="C2067" s="1" t="s">
        <v>963</v>
      </c>
      <c r="D2067" s="1" t="str">
        <f>CONCATENATE("2014-2595",CHAR(10),"2014/S 002-0041250 od 03.09.2014.")</f>
        <v>2014-2595
2014/S 002-0041250 od 03.09.2014.</v>
      </c>
      <c r="E2067" s="1" t="s">
        <v>366</v>
      </c>
      <c r="F2067" s="1" t="str">
        <f>"1.238.400,00"</f>
        <v>1.238.400,00</v>
      </c>
      <c r="G2067" s="1" t="str">
        <f>CONCATENATE("17.10.2014.",CHAR(10),"2 godine")</f>
        <v>17.10.2014.
2 godine</v>
      </c>
      <c r="H2067" s="1" t="str">
        <f>CONCATENATE("SEKOM D.O.O., ZAGREB")</f>
        <v>SEKOM D.O.O., ZAGREB</v>
      </c>
      <c r="I2067" s="2"/>
      <c r="J2067" s="1"/>
      <c r="K2067" s="1" t="s">
        <v>607</v>
      </c>
    </row>
    <row r="2068" spans="1:11" ht="63" x14ac:dyDescent="0.25">
      <c r="A2068" s="1" t="str">
        <f>"660/2014"</f>
        <v>660/2014</v>
      </c>
      <c r="B2068" s="1" t="s">
        <v>26</v>
      </c>
      <c r="C2068" s="1" t="s">
        <v>964</v>
      </c>
      <c r="D2068" s="1" t="str">
        <f>"2014-107"</f>
        <v>2014-107</v>
      </c>
      <c r="E2068" s="2"/>
      <c r="F2068" s="1" t="str">
        <f>"156.121,00"</f>
        <v>156.121,00</v>
      </c>
      <c r="G2068" s="1" t="str">
        <f>CONCATENATE("17.10.2014.",CHAR(10),"31.12.2014")</f>
        <v>17.10.2014.
31.12.2014</v>
      </c>
      <c r="H2068" s="1" t="str">
        <f>CONCATENATE("1. Zajednica ponuditelja: ",CHAR(10),"    VINDIJA D.D., VARAŽDIN",CHAR(10),"    KOKA D.D., VARAŽDIN",CHAR(10),"    VINDON D.O.O., SLAVONSKI BROD")</f>
        <v>1. Zajednica ponuditelja: 
    VINDIJA D.D., VARAŽDIN
    KOKA D.D., VARAŽDIN
    VINDON D.O.O., SLAVONSKI BROD</v>
      </c>
      <c r="I2068" s="1" t="s">
        <v>965</v>
      </c>
      <c r="J2068" s="1" t="str">
        <f>SUBSTITUTE(SUBSTITUTE(SUBSTITUTE("14,065.24",".","-"),",","."),"-",",")</f>
        <v>14.065,24</v>
      </c>
      <c r="K2068" s="1" t="s">
        <v>607</v>
      </c>
    </row>
    <row r="2069" spans="1:11" ht="47.25" x14ac:dyDescent="0.25">
      <c r="A2069" s="1" t="str">
        <f>"A-117/2014"</f>
        <v>A-117/2014</v>
      </c>
      <c r="B2069" s="1" t="s">
        <v>11</v>
      </c>
      <c r="C2069" s="1" t="s">
        <v>966</v>
      </c>
      <c r="D2069" s="1" t="str">
        <f>"2913-2014-EVV"</f>
        <v>2913-2014-EVV</v>
      </c>
      <c r="E2069" s="2"/>
      <c r="F2069" s="1" t="str">
        <f>"1.464.116,08"</f>
        <v>1.464.116,08</v>
      </c>
      <c r="G2069" s="1" t="str">
        <f>"17.10.2014."</f>
        <v>17.10.2014.</v>
      </c>
      <c r="H2069" s="1" t="str">
        <f>CONCATENATE("PROFIL INTERNATIONAL D.O.O., ZAGREB")</f>
        <v>PROFIL INTERNATIONAL D.O.O., ZAGREB</v>
      </c>
      <c r="I2069" s="1" t="s">
        <v>746</v>
      </c>
      <c r="J2069" s="1" t="str">
        <f>SUBSTITUTE(SUBSTITUTE(SUBSTITUTE("1,537,155.79",".","-"),",","."),"-",",")</f>
        <v>1.537.155,79</v>
      </c>
      <c r="K2069" s="2"/>
    </row>
    <row r="2070" spans="1:11" ht="47.25" x14ac:dyDescent="0.25">
      <c r="A2070" s="1" t="str">
        <f>"663/2014"</f>
        <v>663/2014</v>
      </c>
      <c r="B2070" s="1" t="s">
        <v>136</v>
      </c>
      <c r="C2070" s="1" t="s">
        <v>967</v>
      </c>
      <c r="D2070" s="1" t="str">
        <f>CONCATENATE("2014-2264",CHAR(10),"2014/S 002-0025578 od 22.05.2014.")</f>
        <v>2014-2264
2014/S 002-0025578 od 22.05.2014.</v>
      </c>
      <c r="E2070" s="1" t="s">
        <v>366</v>
      </c>
      <c r="F2070" s="1" t="str">
        <f>"10.140.095,00"</f>
        <v>10.140.095,00</v>
      </c>
      <c r="G2070" s="1" t="str">
        <f>CONCATENATE("21.10.2014.",CHAR(10),"2 godine")</f>
        <v>21.10.2014.
2 godine</v>
      </c>
      <c r="H2070" s="1" t="str">
        <f>CONCATENATE("HIDROCOMMERCE GRUPA D.O.O., ZAGREB")</f>
        <v>HIDROCOMMERCE GRUPA D.O.O., ZAGREB</v>
      </c>
      <c r="I2070" s="2"/>
      <c r="J2070" s="1"/>
      <c r="K2070" s="1" t="s">
        <v>607</v>
      </c>
    </row>
    <row r="2071" spans="1:11" ht="110.25" x14ac:dyDescent="0.25">
      <c r="A2071" s="1" t="str">
        <f>"664/2014"</f>
        <v>664/2014</v>
      </c>
      <c r="B2071" s="1" t="s">
        <v>136</v>
      </c>
      <c r="C2071" s="1" t="s">
        <v>2861</v>
      </c>
      <c r="D2071" s="1" t="str">
        <f>CONCATENATE("24-2014-EVV",CHAR(10),"2014/S-002-0032285 od 03.07.2014.")</f>
        <v>24-2014-EVV
2014/S-002-0032285 od 03.07.2014.</v>
      </c>
      <c r="E2071" s="1" t="s">
        <v>366</v>
      </c>
      <c r="F2071" s="1" t="str">
        <f>"1.690.022,24"</f>
        <v>1.690.022,24</v>
      </c>
      <c r="G2071" s="1" t="str">
        <f>CONCATENATE("16.10.2014.",CHAR(10),"2 godine")</f>
        <v>16.10.2014.
2 godine</v>
      </c>
      <c r="H2071" s="1" t="str">
        <f>CONCATENATE("1. Zajednica ponuditelja: ",CHAR(10),"    EKO-DERATIZACIJA D.O.O., ZAGREB",CHAR(10),"    EKOTOURS D.O.O., ZAGREB",CHAR(10),"    ADRIA GRUPA D.O.O., ZAGREB")</f>
        <v>1. Zajednica ponuditelja: 
    EKO-DERATIZACIJA D.O.O., ZAGREB
    EKOTOURS D.O.O., ZAGREB
    ADRIA GRUPA D.O.O., ZAGREB</v>
      </c>
      <c r="I2071" s="2"/>
      <c r="J2071" s="1"/>
      <c r="K2071" s="2"/>
    </row>
    <row r="2072" spans="1:11" ht="63" x14ac:dyDescent="0.25">
      <c r="A2072" s="1" t="str">
        <f>"A-118/2014"</f>
        <v>A-118/2014</v>
      </c>
      <c r="B2072" s="1" t="s">
        <v>11</v>
      </c>
      <c r="C2072" s="1" t="s">
        <v>968</v>
      </c>
      <c r="D2072" s="1" t="str">
        <f>"1843-2012-EMV"</f>
        <v>1843-2012-EMV</v>
      </c>
      <c r="E2072" s="2"/>
      <c r="F2072" s="1" t="str">
        <f>"0,00"</f>
        <v>0,00</v>
      </c>
      <c r="G2072" s="1" t="str">
        <f>CONCATENATE("17.10.2014.",CHAR(10),"01.03.2015")</f>
        <v>17.10.2014.
01.03.2015</v>
      </c>
      <c r="H2072" s="1" t="str">
        <f>CONCATENATE("1. Zajednica ponuditelja: ",CHAR(10),"    CAPITAL ING D.O.O., ZAGREB",CHAR(10),"    GEO GRUPA D.O.O., ZAGREB")</f>
        <v>1. Zajednica ponuditelja: 
    CAPITAL ING D.O.O., ZAGREB
    GEO GRUPA D.O.O., ZAGREB</v>
      </c>
      <c r="I2072" s="2"/>
      <c r="J2072" s="1"/>
      <c r="K2072" s="2"/>
    </row>
    <row r="2073" spans="1:11" ht="47.25" x14ac:dyDescent="0.25">
      <c r="A2073" s="1" t="str">
        <f>"665/2014"</f>
        <v>665/2014</v>
      </c>
      <c r="B2073" s="1" t="s">
        <v>14</v>
      </c>
      <c r="C2073" s="1" t="s">
        <v>2862</v>
      </c>
      <c r="D2073" s="1" t="str">
        <f>CONCATENATE("1141-2013-EMV",CHAR(10),"2013-S 002-0030972 od 04.04.2013.")</f>
        <v>1141-2013-EMV
2013-S 002-0030972 od 04.04.2013.</v>
      </c>
      <c r="E2073" s="1" t="s">
        <v>15</v>
      </c>
      <c r="F2073" s="1" t="str">
        <f>"287.036,40"</f>
        <v>287.036,40</v>
      </c>
      <c r="G2073" s="1" t="str">
        <f>CONCATENATE("17.10.2014.",CHAR(10),"8 mjeseci od dana uvođenja u posao")</f>
        <v>17.10.2014.
8 mjeseci od dana uvođenja u posao</v>
      </c>
      <c r="H2073" s="1" t="str">
        <f>CONCATENATE("1. Zajednica ponuditelja: ",CHAR(10),"    TA-GRAD D.O.O., ZAGREB",CHAR(10),"    TERRACOTTA D.O.O., ZAGREB")</f>
        <v>1. Zajednica ponuditelja: 
    TA-GRAD D.O.O., ZAGREB
    TERRACOTTA D.O.O., ZAGREB</v>
      </c>
      <c r="I2073" s="2"/>
      <c r="J2073" s="1"/>
      <c r="K2073" s="2"/>
    </row>
    <row r="2074" spans="1:11" ht="47.25" x14ac:dyDescent="0.25">
      <c r="A2074" s="1" t="str">
        <f>"666/2014"</f>
        <v>666/2014</v>
      </c>
      <c r="B2074" s="1" t="s">
        <v>26</v>
      </c>
      <c r="C2074" s="1" t="s">
        <v>969</v>
      </c>
      <c r="D2074" s="1" t="str">
        <f>"2014-107"</f>
        <v>2014-107</v>
      </c>
      <c r="E2074" s="2"/>
      <c r="F2074" s="1" t="str">
        <f>"205.306,50"</f>
        <v>205.306,50</v>
      </c>
      <c r="G2074" s="1" t="str">
        <f>CONCATENATE("17.10.2014.",CHAR(10),"31.12.2014")</f>
        <v>17.10.2014.
31.12.2014</v>
      </c>
      <c r="H2074" s="1" t="str">
        <f>CONCATENATE("PIK VRBOVEC-MESNA INDUSTRIJA D.D., VRBOVEC")</f>
        <v>PIK VRBOVEC-MESNA INDUSTRIJA D.D., VRBOVEC</v>
      </c>
      <c r="I2074" s="1" t="s">
        <v>958</v>
      </c>
      <c r="J2074" s="1" t="str">
        <f>SUBSTITUTE(SUBSTITUTE(SUBSTITUTE("106,826.17",".","-"),",","."),"-",",")</f>
        <v>106.826,17</v>
      </c>
      <c r="K2074" s="1" t="s">
        <v>607</v>
      </c>
    </row>
    <row r="2075" spans="1:11" ht="47.25" x14ac:dyDescent="0.25">
      <c r="A2075" s="1" t="str">
        <f>"667/2014"</f>
        <v>667/2014</v>
      </c>
      <c r="B2075" s="1" t="s">
        <v>26</v>
      </c>
      <c r="C2075" s="1" t="s">
        <v>970</v>
      </c>
      <c r="D2075" s="1" t="str">
        <f>"Z-2014-2"</f>
        <v>Z-2014-2</v>
      </c>
      <c r="E2075" s="2"/>
      <c r="F2075" s="1" t="str">
        <f>"19.373,50"</f>
        <v>19.373,50</v>
      </c>
      <c r="G2075" s="1" t="str">
        <f>CONCATENATE("21.10.2014.",CHAR(10),"30.06.2015")</f>
        <v>21.10.2014.
30.06.2015</v>
      </c>
      <c r="H2075" s="1" t="str">
        <f>CONCATENATE("NARODNE NOVINE D.D., ZAGREB")</f>
        <v>NARODNE NOVINE D.D., ZAGREB</v>
      </c>
      <c r="I2075" s="2"/>
      <c r="J2075" s="1"/>
      <c r="K2075" s="1" t="s">
        <v>607</v>
      </c>
    </row>
    <row r="2076" spans="1:11" ht="78.75" x14ac:dyDescent="0.25">
      <c r="A2076" s="1" t="str">
        <f>"668/2014"</f>
        <v>668/2014</v>
      </c>
      <c r="B2076" s="1" t="s">
        <v>26</v>
      </c>
      <c r="C2076" s="1" t="s">
        <v>2863</v>
      </c>
      <c r="D2076" s="1" t="str">
        <f>"EV-814/2011"</f>
        <v>EV-814/2011</v>
      </c>
      <c r="E2076" s="2"/>
      <c r="F2076" s="1" t="str">
        <f>"415.363,85"</f>
        <v>415.363,85</v>
      </c>
      <c r="G2076" s="1" t="str">
        <f>CONCATENATE("17.10.2014.",CHAR(10),"12 mjeseci")</f>
        <v>17.10.2014.
12 mjeseci</v>
      </c>
      <c r="H2076" s="1" t="str">
        <f>CONCATENATE("ZAGREBAČKE PEKARNE KLARA D.D., ZAGREB")</f>
        <v>ZAGREBAČKE PEKARNE KLARA D.D., ZAGREB</v>
      </c>
      <c r="I2076" s="2"/>
      <c r="J2076" s="1"/>
      <c r="K2076" s="2"/>
    </row>
    <row r="2077" spans="1:11" ht="78.75" x14ac:dyDescent="0.25">
      <c r="A2077" s="1" t="str">
        <f>"669/2014"</f>
        <v>669/2014</v>
      </c>
      <c r="B2077" s="1" t="s">
        <v>26</v>
      </c>
      <c r="C2077" s="1" t="s">
        <v>2864</v>
      </c>
      <c r="D2077" s="1" t="str">
        <f>"EV-814/2011"</f>
        <v>EV-814/2011</v>
      </c>
      <c r="E2077" s="2"/>
      <c r="F2077" s="1" t="str">
        <f>"531.326,41"</f>
        <v>531.326,41</v>
      </c>
      <c r="G2077" s="1" t="str">
        <f>CONCATENATE("17.10.2014.",CHAR(10),"12 mjeseci")</f>
        <v>17.10.2014.
12 mjeseci</v>
      </c>
      <c r="H2077" s="1" t="str">
        <f>CONCATENATE("ZAGREBAČKE PEKARNE KLARA D.D., ZAGREB")</f>
        <v>ZAGREBAČKE PEKARNE KLARA D.D., ZAGREB</v>
      </c>
      <c r="I2077" s="2"/>
      <c r="J2077" s="1"/>
      <c r="K2077" s="2"/>
    </row>
    <row r="2078" spans="1:11" ht="78.75" x14ac:dyDescent="0.25">
      <c r="A2078" s="1" t="str">
        <f>"670/2014"</f>
        <v>670/2014</v>
      </c>
      <c r="B2078" s="1" t="s">
        <v>26</v>
      </c>
      <c r="C2078" s="1" t="s">
        <v>2865</v>
      </c>
      <c r="D2078" s="1" t="str">
        <f>"EV-814/2011"</f>
        <v>EV-814/2011</v>
      </c>
      <c r="E2078" s="2"/>
      <c r="F2078" s="1" t="str">
        <f>"310.713,83"</f>
        <v>310.713,83</v>
      </c>
      <c r="G2078" s="1" t="str">
        <f>CONCATENATE("17.10.2014.",CHAR(10),"12 mjeseci")</f>
        <v>17.10.2014.
12 mjeseci</v>
      </c>
      <c r="H2078" s="1" t="str">
        <f>CONCATENATE("ZAGREBAČKE PEKARNE KLARA D.D., ZAGREB")</f>
        <v>ZAGREBAČKE PEKARNE KLARA D.D., ZAGREB</v>
      </c>
      <c r="I2078" s="2"/>
      <c r="J2078" s="1"/>
      <c r="K2078" s="2"/>
    </row>
    <row r="2079" spans="1:11" ht="94.5" x14ac:dyDescent="0.25">
      <c r="A2079" s="1" t="str">
        <f>"671/2014"</f>
        <v>671/2014</v>
      </c>
      <c r="B2079" s="1" t="s">
        <v>26</v>
      </c>
      <c r="C2079" s="1" t="s">
        <v>2866</v>
      </c>
      <c r="D2079" s="1" t="str">
        <f>"EV-814/2011"</f>
        <v>EV-814/2011</v>
      </c>
      <c r="E2079" s="2"/>
      <c r="F2079" s="1" t="str">
        <f>"476.646,61"</f>
        <v>476.646,61</v>
      </c>
      <c r="G2079" s="1" t="str">
        <f>CONCATENATE("17.10.2014.",CHAR(10),"12 mjeseci")</f>
        <v>17.10.2014.
12 mjeseci</v>
      </c>
      <c r="H2079" s="1" t="str">
        <f>CONCATENATE("ZAGREBAČKE PEKARNE KLARA D.D., ZAGREB")</f>
        <v>ZAGREBAČKE PEKARNE KLARA D.D., ZAGREB</v>
      </c>
      <c r="I2079" s="2"/>
      <c r="J2079" s="1"/>
      <c r="K2079" s="2"/>
    </row>
    <row r="2080" spans="1:11" ht="63" x14ac:dyDescent="0.25">
      <c r="A2080" s="1" t="str">
        <f>"672/2014"</f>
        <v>672/2014</v>
      </c>
      <c r="B2080" s="1" t="s">
        <v>14</v>
      </c>
      <c r="C2080" s="1" t="s">
        <v>971</v>
      </c>
      <c r="D2080" s="1" t="str">
        <f t="shared" ref="D2080:D2102" si="15">"Z-2014-10"</f>
        <v>Z-2014-10</v>
      </c>
      <c r="E2080" s="1" t="s">
        <v>40</v>
      </c>
      <c r="F2080" s="1" t="s">
        <v>503</v>
      </c>
      <c r="G2080" s="1" t="str">
        <f t="shared" ref="G2080:G2102" si="16">CONCATENATE("16.10.2014.",CHAR(10),"do zaključenja Ugovora za 2015. godinu")</f>
        <v>16.10.2014.
do zaključenja Ugovora za 2015. godinu</v>
      </c>
      <c r="H2080" s="1" t="str">
        <f>CONCATENATE("ODVJETNIČKO DRUŠTVO MIHOČEVIĆ&amp;BAJS D.O.O., ZAGREB")</f>
        <v>ODVJETNIČKO DRUŠTVO MIHOČEVIĆ&amp;BAJS D.O.O., ZAGREB</v>
      </c>
      <c r="I2080" s="2"/>
      <c r="J2080" s="1"/>
      <c r="K2080" s="1" t="s">
        <v>607</v>
      </c>
    </row>
    <row r="2081" spans="1:11" ht="63" x14ac:dyDescent="0.25">
      <c r="A2081" s="1" t="str">
        <f>"673/2014"</f>
        <v>673/2014</v>
      </c>
      <c r="B2081" s="1" t="s">
        <v>14</v>
      </c>
      <c r="C2081" s="1" t="s">
        <v>971</v>
      </c>
      <c r="D2081" s="1" t="str">
        <f t="shared" si="15"/>
        <v>Z-2014-10</v>
      </c>
      <c r="E2081" s="1" t="s">
        <v>40</v>
      </c>
      <c r="F2081" s="1" t="s">
        <v>503</v>
      </c>
      <c r="G2081" s="1" t="str">
        <f t="shared" si="16"/>
        <v>16.10.2014.
do zaključenja Ugovora za 2015. godinu</v>
      </c>
      <c r="H2081" s="1" t="str">
        <f>CONCATENATE("ODVJETNIČKO DRUŠTVO HANŽEKOVIĆ &amp; PARTNERI D.O.O., ZAGREB")</f>
        <v>ODVJETNIČKO DRUŠTVO HANŽEKOVIĆ &amp; PARTNERI D.O.O., ZAGREB</v>
      </c>
      <c r="I2081" s="2"/>
      <c r="J2081" s="1"/>
      <c r="K2081" s="1" t="s">
        <v>607</v>
      </c>
    </row>
    <row r="2082" spans="1:11" ht="63" x14ac:dyDescent="0.25">
      <c r="A2082" s="1" t="str">
        <f>"674/2014"</f>
        <v>674/2014</v>
      </c>
      <c r="B2082" s="1" t="s">
        <v>14</v>
      </c>
      <c r="C2082" s="1" t="s">
        <v>971</v>
      </c>
      <c r="D2082" s="1" t="str">
        <f t="shared" si="15"/>
        <v>Z-2014-10</v>
      </c>
      <c r="E2082" s="1" t="s">
        <v>40</v>
      </c>
      <c r="F2082" s="1" t="s">
        <v>503</v>
      </c>
      <c r="G2082" s="1" t="str">
        <f t="shared" si="16"/>
        <v>16.10.2014.
do zaključenja Ugovora za 2015. godinu</v>
      </c>
      <c r="H2082" s="1" t="str">
        <f>CONCATENATE("KRSNIK KREŠIMIR, ODVJETNIK, ZAGREB")</f>
        <v>KRSNIK KREŠIMIR, ODVJETNIK, ZAGREB</v>
      </c>
      <c r="I2082" s="2"/>
      <c r="J2082" s="1"/>
      <c r="K2082" s="1" t="s">
        <v>607</v>
      </c>
    </row>
    <row r="2083" spans="1:11" ht="63" x14ac:dyDescent="0.25">
      <c r="A2083" s="1" t="str">
        <f>"675/2014"</f>
        <v>675/2014</v>
      </c>
      <c r="B2083" s="1" t="s">
        <v>14</v>
      </c>
      <c r="C2083" s="1" t="s">
        <v>971</v>
      </c>
      <c r="D2083" s="1" t="str">
        <f t="shared" si="15"/>
        <v>Z-2014-10</v>
      </c>
      <c r="E2083" s="1" t="s">
        <v>40</v>
      </c>
      <c r="F2083" s="1" t="s">
        <v>503</v>
      </c>
      <c r="G2083" s="1" t="str">
        <f t="shared" si="16"/>
        <v>16.10.2014.
do zaključenja Ugovora za 2015. godinu</v>
      </c>
      <c r="H2083" s="1" t="str">
        <f>CONCATENATE("MAMIĆ PERIĆ REBERSKI RIMAC ODVJETNIČKO DRUŠTVO D.O.O., ZAGREB")</f>
        <v>MAMIĆ PERIĆ REBERSKI RIMAC ODVJETNIČKO DRUŠTVO D.O.O., ZAGREB</v>
      </c>
      <c r="I2083" s="2"/>
      <c r="J2083" s="1"/>
      <c r="K2083" s="1" t="s">
        <v>607</v>
      </c>
    </row>
    <row r="2084" spans="1:11" ht="63" x14ac:dyDescent="0.25">
      <c r="A2084" s="1" t="str">
        <f>"676/2014"</f>
        <v>676/2014</v>
      </c>
      <c r="B2084" s="1" t="s">
        <v>14</v>
      </c>
      <c r="C2084" s="1" t="s">
        <v>971</v>
      </c>
      <c r="D2084" s="1" t="str">
        <f t="shared" si="15"/>
        <v>Z-2014-10</v>
      </c>
      <c r="E2084" s="1" t="s">
        <v>40</v>
      </c>
      <c r="F2084" s="1" t="s">
        <v>503</v>
      </c>
      <c r="G2084" s="1" t="str">
        <f t="shared" si="16"/>
        <v>16.10.2014.
do zaključenja Ugovora za 2015. godinu</v>
      </c>
      <c r="H2084" s="1" t="str">
        <f>CONCATENATE("BALEK ROGINIĆ SVJETLANA, ODVJETNICA, ZAGREB")</f>
        <v>BALEK ROGINIĆ SVJETLANA, ODVJETNICA, ZAGREB</v>
      </c>
      <c r="I2084" s="2"/>
      <c r="J2084" s="1"/>
      <c r="K2084" s="1" t="s">
        <v>607</v>
      </c>
    </row>
    <row r="2085" spans="1:11" ht="63" x14ac:dyDescent="0.25">
      <c r="A2085" s="1" t="str">
        <f>"677/2014"</f>
        <v>677/2014</v>
      </c>
      <c r="B2085" s="1" t="s">
        <v>14</v>
      </c>
      <c r="C2085" s="1" t="s">
        <v>971</v>
      </c>
      <c r="D2085" s="1" t="str">
        <f t="shared" si="15"/>
        <v>Z-2014-10</v>
      </c>
      <c r="E2085" s="1" t="s">
        <v>40</v>
      </c>
      <c r="F2085" s="1" t="s">
        <v>503</v>
      </c>
      <c r="G2085" s="1" t="str">
        <f t="shared" si="16"/>
        <v>16.10.2014.
do zaključenja Ugovora za 2015. godinu</v>
      </c>
      <c r="H2085" s="1" t="str">
        <f>CONCATENATE("ODVJETNIČKO DRUŠTVO LEKO I PARTNERI D.O.O., ZAGREB")</f>
        <v>ODVJETNIČKO DRUŠTVO LEKO I PARTNERI D.O.O., ZAGREB</v>
      </c>
      <c r="I2085" s="2"/>
      <c r="J2085" s="1"/>
      <c r="K2085" s="1" t="s">
        <v>607</v>
      </c>
    </row>
    <row r="2086" spans="1:11" ht="63" x14ac:dyDescent="0.25">
      <c r="A2086" s="1" t="str">
        <f>"678/2014"</f>
        <v>678/2014</v>
      </c>
      <c r="B2086" s="1" t="s">
        <v>14</v>
      </c>
      <c r="C2086" s="1" t="s">
        <v>971</v>
      </c>
      <c r="D2086" s="1" t="str">
        <f t="shared" si="15"/>
        <v>Z-2014-10</v>
      </c>
      <c r="E2086" s="1" t="s">
        <v>40</v>
      </c>
      <c r="F2086" s="1" t="s">
        <v>503</v>
      </c>
      <c r="G2086" s="1" t="str">
        <f t="shared" si="16"/>
        <v>16.10.2014.
do zaključenja Ugovora za 2015. godinu</v>
      </c>
      <c r="H2086" s="1" t="str">
        <f>CONCATENATE("ZAJEDNIČKI ODVJETNIČKI URED PRALJAK &amp; SVIĆ, ZAGREB")</f>
        <v>ZAJEDNIČKI ODVJETNIČKI URED PRALJAK &amp; SVIĆ, ZAGREB</v>
      </c>
      <c r="I2086" s="2"/>
      <c r="J2086" s="1"/>
      <c r="K2086" s="1" t="s">
        <v>607</v>
      </c>
    </row>
    <row r="2087" spans="1:11" ht="63" x14ac:dyDescent="0.25">
      <c r="A2087" s="1" t="str">
        <f>"679/2014"</f>
        <v>679/2014</v>
      </c>
      <c r="B2087" s="1" t="s">
        <v>14</v>
      </c>
      <c r="C2087" s="1" t="s">
        <v>971</v>
      </c>
      <c r="D2087" s="1" t="str">
        <f t="shared" si="15"/>
        <v>Z-2014-10</v>
      </c>
      <c r="E2087" s="1" t="s">
        <v>40</v>
      </c>
      <c r="F2087" s="1" t="s">
        <v>503</v>
      </c>
      <c r="G2087" s="1" t="str">
        <f t="shared" si="16"/>
        <v>16.10.2014.
do zaključenja Ugovora za 2015. godinu</v>
      </c>
      <c r="H2087" s="1" t="str">
        <f>CONCATENATE("CENIĆ MAJA, ODVJETNICA, ZAGREB")</f>
        <v>CENIĆ MAJA, ODVJETNICA, ZAGREB</v>
      </c>
      <c r="I2087" s="2"/>
      <c r="J2087" s="1"/>
      <c r="K2087" s="1" t="s">
        <v>607</v>
      </c>
    </row>
    <row r="2088" spans="1:11" ht="63" x14ac:dyDescent="0.25">
      <c r="A2088" s="1" t="str">
        <f>"680/2014"</f>
        <v>680/2014</v>
      </c>
      <c r="B2088" s="1" t="s">
        <v>14</v>
      </c>
      <c r="C2088" s="1" t="s">
        <v>971</v>
      </c>
      <c r="D2088" s="1" t="str">
        <f t="shared" si="15"/>
        <v>Z-2014-10</v>
      </c>
      <c r="E2088" s="1" t="s">
        <v>40</v>
      </c>
      <c r="F2088" s="1" t="s">
        <v>503</v>
      </c>
      <c r="G2088" s="1" t="str">
        <f t="shared" si="16"/>
        <v>16.10.2014.
do zaključenja Ugovora za 2015. godinu</v>
      </c>
      <c r="H2088" s="1" t="str">
        <f>CONCATENATE("ODVJETNIČKO DRUŠTVO ŠUNIĆ I PARTNERI J. T. D., ZAGREB")</f>
        <v>ODVJETNIČKO DRUŠTVO ŠUNIĆ I PARTNERI J. T. D., ZAGREB</v>
      </c>
      <c r="I2088" s="2"/>
      <c r="J2088" s="1"/>
      <c r="K2088" s="1" t="s">
        <v>607</v>
      </c>
    </row>
    <row r="2089" spans="1:11" ht="63" x14ac:dyDescent="0.25">
      <c r="A2089" s="1" t="str">
        <f>"681/2014"</f>
        <v>681/2014</v>
      </c>
      <c r="B2089" s="1" t="s">
        <v>14</v>
      </c>
      <c r="C2089" s="1" t="s">
        <v>971</v>
      </c>
      <c r="D2089" s="1" t="str">
        <f t="shared" si="15"/>
        <v>Z-2014-10</v>
      </c>
      <c r="E2089" s="1" t="s">
        <v>40</v>
      </c>
      <c r="F2089" s="1" t="s">
        <v>503</v>
      </c>
      <c r="G2089" s="1" t="str">
        <f t="shared" si="16"/>
        <v>16.10.2014.
do zaključenja Ugovora za 2015. godinu</v>
      </c>
      <c r="H2089" s="1" t="str">
        <f>CONCATENATE("HUKELJ ANITA, ODVJETNICA, ZAGREB")</f>
        <v>HUKELJ ANITA, ODVJETNICA, ZAGREB</v>
      </c>
      <c r="I2089" s="2"/>
      <c r="J2089" s="1"/>
      <c r="K2089" s="1" t="s">
        <v>607</v>
      </c>
    </row>
    <row r="2090" spans="1:11" ht="63" x14ac:dyDescent="0.25">
      <c r="A2090" s="1" t="str">
        <f>"682/2014"</f>
        <v>682/2014</v>
      </c>
      <c r="B2090" s="1" t="s">
        <v>14</v>
      </c>
      <c r="C2090" s="1" t="s">
        <v>971</v>
      </c>
      <c r="D2090" s="1" t="str">
        <f t="shared" si="15"/>
        <v>Z-2014-10</v>
      </c>
      <c r="E2090" s="1" t="s">
        <v>40</v>
      </c>
      <c r="F2090" s="1" t="s">
        <v>503</v>
      </c>
      <c r="G2090" s="1" t="str">
        <f t="shared" si="16"/>
        <v>16.10.2014.
do zaključenja Ugovora za 2015. godinu</v>
      </c>
      <c r="H2090" s="1" t="str">
        <f>CONCATENATE("ZORAN GALIĆ, ODVJETNIK, ZAGREB")</f>
        <v>ZORAN GALIĆ, ODVJETNIK, ZAGREB</v>
      </c>
      <c r="I2090" s="2"/>
      <c r="J2090" s="1"/>
      <c r="K2090" s="1" t="s">
        <v>607</v>
      </c>
    </row>
    <row r="2091" spans="1:11" ht="63" x14ac:dyDescent="0.25">
      <c r="A2091" s="1" t="str">
        <f>"683/2014"</f>
        <v>683/2014</v>
      </c>
      <c r="B2091" s="1" t="s">
        <v>14</v>
      </c>
      <c r="C2091" s="1" t="s">
        <v>971</v>
      </c>
      <c r="D2091" s="1" t="str">
        <f t="shared" si="15"/>
        <v>Z-2014-10</v>
      </c>
      <c r="E2091" s="1" t="s">
        <v>40</v>
      </c>
      <c r="F2091" s="1" t="s">
        <v>503</v>
      </c>
      <c r="G2091" s="1" t="str">
        <f t="shared" si="16"/>
        <v>16.10.2014.
do zaključenja Ugovora za 2015. godinu</v>
      </c>
      <c r="H2091" s="1" t="str">
        <f>CONCATENATE("NOGOLICA LJILJANA, ODVJETNICA, ZAGREB")</f>
        <v>NOGOLICA LJILJANA, ODVJETNICA, ZAGREB</v>
      </c>
      <c r="I2091" s="2"/>
      <c r="J2091" s="1"/>
      <c r="K2091" s="1" t="s">
        <v>607</v>
      </c>
    </row>
    <row r="2092" spans="1:11" ht="63" x14ac:dyDescent="0.25">
      <c r="A2092" s="1" t="str">
        <f>"684/2014"</f>
        <v>684/2014</v>
      </c>
      <c r="B2092" s="1" t="s">
        <v>14</v>
      </c>
      <c r="C2092" s="1" t="s">
        <v>971</v>
      </c>
      <c r="D2092" s="1" t="str">
        <f t="shared" si="15"/>
        <v>Z-2014-10</v>
      </c>
      <c r="E2092" s="1" t="s">
        <v>40</v>
      </c>
      <c r="F2092" s="1" t="s">
        <v>503</v>
      </c>
      <c r="G2092" s="1" t="str">
        <f t="shared" si="16"/>
        <v>16.10.2014.
do zaključenja Ugovora za 2015. godinu</v>
      </c>
      <c r="H2092" s="1" t="str">
        <f>CONCATENATE("KELEMEN BORIS, ZAGREB")</f>
        <v>KELEMEN BORIS, ZAGREB</v>
      </c>
      <c r="I2092" s="2"/>
      <c r="J2092" s="1"/>
      <c r="K2092" s="1" t="s">
        <v>607</v>
      </c>
    </row>
    <row r="2093" spans="1:11" ht="63" x14ac:dyDescent="0.25">
      <c r="A2093" s="1" t="str">
        <f>"685/2014"</f>
        <v>685/2014</v>
      </c>
      <c r="B2093" s="1" t="s">
        <v>14</v>
      </c>
      <c r="C2093" s="1" t="s">
        <v>971</v>
      </c>
      <c r="D2093" s="1" t="str">
        <f t="shared" si="15"/>
        <v>Z-2014-10</v>
      </c>
      <c r="E2093" s="1" t="s">
        <v>40</v>
      </c>
      <c r="F2093" s="1" t="s">
        <v>503</v>
      </c>
      <c r="G2093" s="1" t="str">
        <f t="shared" si="16"/>
        <v>16.10.2014.
do zaključenja Ugovora za 2015. godinu</v>
      </c>
      <c r="H2093" s="1" t="str">
        <f>CONCATENATE("KOŽAR ANDREA, ODVJETNICA, ZAGREB")</f>
        <v>KOŽAR ANDREA, ODVJETNICA, ZAGREB</v>
      </c>
      <c r="I2093" s="2"/>
      <c r="J2093" s="1"/>
      <c r="K2093" s="1" t="s">
        <v>607</v>
      </c>
    </row>
    <row r="2094" spans="1:11" ht="63" x14ac:dyDescent="0.25">
      <c r="A2094" s="1" t="str">
        <f>"686/2014"</f>
        <v>686/2014</v>
      </c>
      <c r="B2094" s="1" t="s">
        <v>14</v>
      </c>
      <c r="C2094" s="1" t="s">
        <v>971</v>
      </c>
      <c r="D2094" s="1" t="str">
        <f t="shared" si="15"/>
        <v>Z-2014-10</v>
      </c>
      <c r="E2094" s="1" t="s">
        <v>40</v>
      </c>
      <c r="F2094" s="1" t="s">
        <v>503</v>
      </c>
      <c r="G2094" s="1" t="str">
        <f t="shared" si="16"/>
        <v>16.10.2014.
do zaključenja Ugovora za 2015. godinu</v>
      </c>
      <c r="H2094" s="1" t="str">
        <f>CONCATENATE("PILIPOVIĆ ŽELJKA,, ODVJETNICA, ZAGREB")</f>
        <v>PILIPOVIĆ ŽELJKA,, ODVJETNICA, ZAGREB</v>
      </c>
      <c r="I2094" s="2"/>
      <c r="J2094" s="1"/>
      <c r="K2094" s="1" t="s">
        <v>607</v>
      </c>
    </row>
    <row r="2095" spans="1:11" ht="63" x14ac:dyDescent="0.25">
      <c r="A2095" s="1" t="str">
        <f>"687/2014"</f>
        <v>687/2014</v>
      </c>
      <c r="B2095" s="1" t="s">
        <v>14</v>
      </c>
      <c r="C2095" s="1" t="s">
        <v>971</v>
      </c>
      <c r="D2095" s="1" t="str">
        <f t="shared" si="15"/>
        <v>Z-2014-10</v>
      </c>
      <c r="E2095" s="1" t="s">
        <v>40</v>
      </c>
      <c r="F2095" s="1" t="s">
        <v>503</v>
      </c>
      <c r="G2095" s="1" t="str">
        <f t="shared" si="16"/>
        <v>16.10.2014.
do zaključenja Ugovora za 2015. godinu</v>
      </c>
      <c r="H2095" s="1" t="str">
        <f>CONCATENATE("TEREŠAK VLADIMIR, ODVJETNIK, ZAGREB")</f>
        <v>TEREŠAK VLADIMIR, ODVJETNIK, ZAGREB</v>
      </c>
      <c r="I2095" s="2"/>
      <c r="J2095" s="1"/>
      <c r="K2095" s="1" t="s">
        <v>607</v>
      </c>
    </row>
    <row r="2096" spans="1:11" ht="63" x14ac:dyDescent="0.25">
      <c r="A2096" s="1" t="str">
        <f>"688/2014"</f>
        <v>688/2014</v>
      </c>
      <c r="B2096" s="1" t="s">
        <v>14</v>
      </c>
      <c r="C2096" s="1" t="s">
        <v>971</v>
      </c>
      <c r="D2096" s="1" t="str">
        <f t="shared" si="15"/>
        <v>Z-2014-10</v>
      </c>
      <c r="E2096" s="1" t="s">
        <v>40</v>
      </c>
      <c r="F2096" s="1" t="s">
        <v>503</v>
      </c>
      <c r="G2096" s="1" t="str">
        <f t="shared" si="16"/>
        <v>16.10.2014.
do zaključenja Ugovora za 2015. godinu</v>
      </c>
      <c r="H2096" s="1" t="str">
        <f>CONCATENATE("DERVIŠBEGOVIĆ ALMIR, ODVJETNIK, ZAGREB")</f>
        <v>DERVIŠBEGOVIĆ ALMIR, ODVJETNIK, ZAGREB</v>
      </c>
      <c r="I2096" s="2"/>
      <c r="J2096" s="1"/>
      <c r="K2096" s="1" t="s">
        <v>607</v>
      </c>
    </row>
    <row r="2097" spans="1:11" ht="63" x14ac:dyDescent="0.25">
      <c r="A2097" s="1" t="str">
        <f>"689/2014"</f>
        <v>689/2014</v>
      </c>
      <c r="B2097" s="1" t="s">
        <v>14</v>
      </c>
      <c r="C2097" s="1" t="s">
        <v>971</v>
      </c>
      <c r="D2097" s="1" t="str">
        <f t="shared" si="15"/>
        <v>Z-2014-10</v>
      </c>
      <c r="E2097" s="1" t="s">
        <v>40</v>
      </c>
      <c r="F2097" s="1" t="s">
        <v>503</v>
      </c>
      <c r="G2097" s="1" t="str">
        <f t="shared" si="16"/>
        <v>16.10.2014.
do zaključenja Ugovora za 2015. godinu</v>
      </c>
      <c r="H2097" s="1" t="str">
        <f>CONCATENATE("KNEZOVIĆ VINKO, ODVJETNIK, ZAGREB")</f>
        <v>KNEZOVIĆ VINKO, ODVJETNIK, ZAGREB</v>
      </c>
      <c r="I2097" s="2"/>
      <c r="J2097" s="1"/>
      <c r="K2097" s="1" t="s">
        <v>607</v>
      </c>
    </row>
    <row r="2098" spans="1:11" ht="63" x14ac:dyDescent="0.25">
      <c r="A2098" s="1" t="str">
        <f>"690/2014"</f>
        <v>690/2014</v>
      </c>
      <c r="B2098" s="1" t="s">
        <v>14</v>
      </c>
      <c r="C2098" s="1" t="s">
        <v>971</v>
      </c>
      <c r="D2098" s="1" t="str">
        <f t="shared" si="15"/>
        <v>Z-2014-10</v>
      </c>
      <c r="E2098" s="1" t="s">
        <v>40</v>
      </c>
      <c r="F2098" s="1" t="s">
        <v>503</v>
      </c>
      <c r="G2098" s="1" t="str">
        <f t="shared" si="16"/>
        <v>16.10.2014.
do zaključenja Ugovora za 2015. godinu</v>
      </c>
      <c r="H2098" s="1" t="str">
        <f>CONCATENATE("PULJIZ ZORAN, ODVJETNIK, ZAGREB")</f>
        <v>PULJIZ ZORAN, ODVJETNIK, ZAGREB</v>
      </c>
      <c r="I2098" s="2"/>
      <c r="J2098" s="1"/>
      <c r="K2098" s="1" t="s">
        <v>607</v>
      </c>
    </row>
    <row r="2099" spans="1:11" ht="63" x14ac:dyDescent="0.25">
      <c r="A2099" s="1" t="str">
        <f>"691/2014"</f>
        <v>691/2014</v>
      </c>
      <c r="B2099" s="1" t="s">
        <v>14</v>
      </c>
      <c r="C2099" s="1" t="s">
        <v>971</v>
      </c>
      <c r="D2099" s="1" t="str">
        <f t="shared" si="15"/>
        <v>Z-2014-10</v>
      </c>
      <c r="E2099" s="1" t="s">
        <v>40</v>
      </c>
      <c r="F2099" s="1" t="s">
        <v>503</v>
      </c>
      <c r="G2099" s="1" t="str">
        <f t="shared" si="16"/>
        <v>16.10.2014.
do zaključenja Ugovora za 2015. godinu</v>
      </c>
      <c r="H2099" s="1" t="str">
        <f>CONCATENATE("TONČIĆ JURICA, ODVJETNIK, ZAGREB")</f>
        <v>TONČIĆ JURICA, ODVJETNIK, ZAGREB</v>
      </c>
      <c r="I2099" s="2"/>
      <c r="J2099" s="1"/>
      <c r="K2099" s="1" t="s">
        <v>607</v>
      </c>
    </row>
    <row r="2100" spans="1:11" ht="63" x14ac:dyDescent="0.25">
      <c r="A2100" s="1" t="str">
        <f>"692/2014"</f>
        <v>692/2014</v>
      </c>
      <c r="B2100" s="1" t="s">
        <v>14</v>
      </c>
      <c r="C2100" s="1" t="s">
        <v>971</v>
      </c>
      <c r="D2100" s="1" t="str">
        <f t="shared" si="15"/>
        <v>Z-2014-10</v>
      </c>
      <c r="E2100" s="1" t="s">
        <v>40</v>
      </c>
      <c r="F2100" s="1" t="s">
        <v>503</v>
      </c>
      <c r="G2100" s="1" t="str">
        <f t="shared" si="16"/>
        <v>16.10.2014.
do zaključenja Ugovora za 2015. godinu</v>
      </c>
      <c r="H2100" s="1" t="str">
        <f>CONCATENATE("ODVJETNIČKO DRUŠTVO MAĐARIĆ &amp; LUI D.O.O., ZAGREB")</f>
        <v>ODVJETNIČKO DRUŠTVO MAĐARIĆ &amp; LUI D.O.O., ZAGREB</v>
      </c>
      <c r="I2100" s="2"/>
      <c r="J2100" s="1"/>
      <c r="K2100" s="1" t="s">
        <v>607</v>
      </c>
    </row>
    <row r="2101" spans="1:11" ht="63" x14ac:dyDescent="0.25">
      <c r="A2101" s="1" t="str">
        <f>"693/2014"</f>
        <v>693/2014</v>
      </c>
      <c r="B2101" s="1" t="s">
        <v>14</v>
      </c>
      <c r="C2101" s="1" t="s">
        <v>971</v>
      </c>
      <c r="D2101" s="1" t="str">
        <f t="shared" si="15"/>
        <v>Z-2014-10</v>
      </c>
      <c r="E2101" s="1" t="s">
        <v>40</v>
      </c>
      <c r="F2101" s="1" t="s">
        <v>503</v>
      </c>
      <c r="G2101" s="1" t="str">
        <f t="shared" si="16"/>
        <v>16.10.2014.
do zaključenja Ugovora za 2015. godinu</v>
      </c>
      <c r="H2101" s="1" t="str">
        <f>CONCATENATE("PODLIPEC VEDRAN, ODVJETNIK, ZAGREB")</f>
        <v>PODLIPEC VEDRAN, ODVJETNIK, ZAGREB</v>
      </c>
      <c r="I2101" s="2"/>
      <c r="J2101" s="1"/>
      <c r="K2101" s="1" t="s">
        <v>607</v>
      </c>
    </row>
    <row r="2102" spans="1:11" ht="63" x14ac:dyDescent="0.25">
      <c r="A2102" s="1" t="str">
        <f>"694/2014"</f>
        <v>694/2014</v>
      </c>
      <c r="B2102" s="1" t="s">
        <v>14</v>
      </c>
      <c r="C2102" s="1" t="s">
        <v>971</v>
      </c>
      <c r="D2102" s="1" t="str">
        <f t="shared" si="15"/>
        <v>Z-2014-10</v>
      </c>
      <c r="E2102" s="1" t="s">
        <v>40</v>
      </c>
      <c r="F2102" s="1" t="s">
        <v>503</v>
      </c>
      <c r="G2102" s="1" t="str">
        <f t="shared" si="16"/>
        <v>16.10.2014.
do zaključenja Ugovora za 2015. godinu</v>
      </c>
      <c r="H2102" s="1" t="str">
        <f>CONCATENATE("SAVIĆ ŠIME, ODVJETNIK, ZAGREB")</f>
        <v>SAVIĆ ŠIME, ODVJETNIK, ZAGREB</v>
      </c>
      <c r="I2102" s="2"/>
      <c r="J2102" s="1"/>
      <c r="K2102" s="1" t="s">
        <v>607</v>
      </c>
    </row>
    <row r="2103" spans="1:11" ht="63" x14ac:dyDescent="0.25">
      <c r="A2103" s="1" t="str">
        <f>"A-119/2014"</f>
        <v>A-119/2014</v>
      </c>
      <c r="B2103" s="1" t="s">
        <v>11</v>
      </c>
      <c r="C2103" s="1" t="s">
        <v>972</v>
      </c>
      <c r="D2103" s="1" t="str">
        <f>"2911-2014-EVV"</f>
        <v>2911-2014-EVV</v>
      </c>
      <c r="E2103" s="2"/>
      <c r="F2103" s="1" t="str">
        <f>"108.115,73"</f>
        <v>108.115,73</v>
      </c>
      <c r="G2103" s="1" t="str">
        <f>"22.10.2014."</f>
        <v>22.10.2014.</v>
      </c>
      <c r="H2103" s="1" t="str">
        <f>CONCATENATE("KRŠĆANSKA SADAŠNJOST D.O.O., ZAGREB")</f>
        <v>KRŠĆANSKA SADAŠNJOST D.O.O., ZAGREB</v>
      </c>
      <c r="I2103" s="1" t="s">
        <v>973</v>
      </c>
      <c r="J2103" s="1" t="str">
        <f>SUBSTITUTE(SUBSTITUTE(SUBSTITUTE("113,485.17",".","-"),",","."),"-",",")</f>
        <v>113.485,17</v>
      </c>
      <c r="K2103" s="2"/>
    </row>
    <row r="2104" spans="1:11" ht="47.25" x14ac:dyDescent="0.25">
      <c r="A2104" s="1" t="str">
        <f>"696/2014"</f>
        <v>696/2014</v>
      </c>
      <c r="B2104" s="1" t="s">
        <v>26</v>
      </c>
      <c r="C2104" s="1" t="s">
        <v>953</v>
      </c>
      <c r="D2104" s="1" t="str">
        <f>"Z-2014-2"</f>
        <v>Z-2014-2</v>
      </c>
      <c r="E2104" s="2"/>
      <c r="F2104" s="1" t="str">
        <f>"30.500,00"</f>
        <v>30.500,00</v>
      </c>
      <c r="G2104" s="1" t="str">
        <f>CONCATENATE("22.10.2014.",CHAR(10),"31.07.2015")</f>
        <v>22.10.2014.
31.07.2015</v>
      </c>
      <c r="H2104" s="1" t="str">
        <f>CONCATENATE("NARODNE NOVINE D.D., ZAGREB")</f>
        <v>NARODNE NOVINE D.D., ZAGREB</v>
      </c>
      <c r="I2104" s="2"/>
      <c r="J2104" s="1"/>
      <c r="K2104" s="1" t="s">
        <v>607</v>
      </c>
    </row>
    <row r="2105" spans="1:11" ht="47.25" x14ac:dyDescent="0.25">
      <c r="A2105" s="1" t="str">
        <f>"697/2014"</f>
        <v>697/2014</v>
      </c>
      <c r="B2105" s="1" t="s">
        <v>26</v>
      </c>
      <c r="C2105" s="1" t="s">
        <v>953</v>
      </c>
      <c r="D2105" s="1" t="str">
        <f>"Z-2014-2"</f>
        <v>Z-2014-2</v>
      </c>
      <c r="E2105" s="2"/>
      <c r="F2105" s="1" t="str">
        <f>"7.175,00"</f>
        <v>7.175,00</v>
      </c>
      <c r="G2105" s="1" t="str">
        <f>CONCATENATE("22.10.2014.",CHAR(10),"30.06.2015")</f>
        <v>22.10.2014.
30.06.2015</v>
      </c>
      <c r="H2105" s="1" t="str">
        <f>CONCATENATE("NARODNE NOVINE D.D., ZAGREB")</f>
        <v>NARODNE NOVINE D.D., ZAGREB</v>
      </c>
      <c r="I2105" s="2"/>
      <c r="J2105" s="1"/>
      <c r="K2105" s="1" t="s">
        <v>607</v>
      </c>
    </row>
    <row r="2106" spans="1:11" ht="47.25" x14ac:dyDescent="0.25">
      <c r="A2106" s="1" t="str">
        <f>"698/2014"</f>
        <v>698/2014</v>
      </c>
      <c r="B2106" s="1" t="s">
        <v>26</v>
      </c>
      <c r="C2106" s="1" t="s">
        <v>953</v>
      </c>
      <c r="D2106" s="1" t="str">
        <f>"Z-2014-2"</f>
        <v>Z-2014-2</v>
      </c>
      <c r="E2106" s="2"/>
      <c r="F2106" s="1" t="str">
        <f>"7.575,00"</f>
        <v>7.575,00</v>
      </c>
      <c r="G2106" s="1" t="str">
        <f>CONCATENATE("22.10.2014.",CHAR(10),"30.06.2015")</f>
        <v>22.10.2014.
30.06.2015</v>
      </c>
      <c r="H2106" s="1" t="str">
        <f>CONCATENATE("NARODNE NOVINE D.D., ZAGREB")</f>
        <v>NARODNE NOVINE D.D., ZAGREB</v>
      </c>
      <c r="I2106" s="2"/>
      <c r="J2106" s="1"/>
      <c r="K2106" s="1" t="s">
        <v>607</v>
      </c>
    </row>
    <row r="2107" spans="1:11" ht="63" x14ac:dyDescent="0.25">
      <c r="A2107" s="1" t="str">
        <f>"700/2014"</f>
        <v>700/2014</v>
      </c>
      <c r="B2107" s="1" t="s">
        <v>14</v>
      </c>
      <c r="C2107" s="1" t="s">
        <v>974</v>
      </c>
      <c r="D2107" s="1" t="str">
        <f t="shared" ref="D2107:D2170" si="17">"Z-2014-10"</f>
        <v>Z-2014-10</v>
      </c>
      <c r="E2107" s="1" t="s">
        <v>40</v>
      </c>
      <c r="F2107" s="1" t="s">
        <v>503</v>
      </c>
      <c r="G2107" s="1" t="str">
        <f t="shared" ref="G2107:G2170" si="18">CONCATENATE("20.10.2014.",CHAR(10),"do zaključenja Ugovora za 2015. godinu")</f>
        <v>20.10.2014.
do zaključenja Ugovora za 2015. godinu</v>
      </c>
      <c r="H2107" s="1" t="str">
        <f>CONCATENATE("ZORAN GALIĆ, ODVJETNIK, ZAGREB")</f>
        <v>ZORAN GALIĆ, ODVJETNIK, ZAGREB</v>
      </c>
      <c r="I2107" s="2"/>
      <c r="J2107" s="1"/>
      <c r="K2107" s="1" t="s">
        <v>607</v>
      </c>
    </row>
    <row r="2108" spans="1:11" ht="63" x14ac:dyDescent="0.25">
      <c r="A2108" s="1" t="str">
        <f>"701/2014"</f>
        <v>701/2014</v>
      </c>
      <c r="B2108" s="1" t="s">
        <v>14</v>
      </c>
      <c r="C2108" s="1" t="s">
        <v>974</v>
      </c>
      <c r="D2108" s="1" t="str">
        <f t="shared" si="17"/>
        <v>Z-2014-10</v>
      </c>
      <c r="E2108" s="1" t="s">
        <v>40</v>
      </c>
      <c r="F2108" s="1" t="s">
        <v>503</v>
      </c>
      <c r="G2108" s="1" t="str">
        <f t="shared" si="18"/>
        <v>20.10.2014.
do zaključenja Ugovora za 2015. godinu</v>
      </c>
      <c r="H2108" s="1" t="str">
        <f>CONCATENATE("HRASTE I PARTNERI ODVJETNIČKO DRUŠTVO D.O.O., ZAGREB")</f>
        <v>HRASTE I PARTNERI ODVJETNIČKO DRUŠTVO D.O.O., ZAGREB</v>
      </c>
      <c r="I2108" s="2"/>
      <c r="J2108" s="1"/>
      <c r="K2108" s="1" t="s">
        <v>607</v>
      </c>
    </row>
    <row r="2109" spans="1:11" ht="63" x14ac:dyDescent="0.25">
      <c r="A2109" s="1" t="str">
        <f>"702/2014"</f>
        <v>702/2014</v>
      </c>
      <c r="B2109" s="1" t="s">
        <v>14</v>
      </c>
      <c r="C2109" s="1" t="s">
        <v>974</v>
      </c>
      <c r="D2109" s="1" t="str">
        <f t="shared" si="17"/>
        <v>Z-2014-10</v>
      </c>
      <c r="E2109" s="1" t="s">
        <v>40</v>
      </c>
      <c r="F2109" s="1" t="s">
        <v>503</v>
      </c>
      <c r="G2109" s="1" t="str">
        <f t="shared" si="18"/>
        <v>20.10.2014.
do zaključenja Ugovora za 2015. godinu</v>
      </c>
      <c r="H2109" s="1" t="str">
        <f>CONCATENATE("BUŠURELO BORAN, ODVJETNIK, ZAGREB")</f>
        <v>BUŠURELO BORAN, ODVJETNIK, ZAGREB</v>
      </c>
      <c r="I2109" s="2"/>
      <c r="J2109" s="1"/>
      <c r="K2109" s="1" t="s">
        <v>607</v>
      </c>
    </row>
    <row r="2110" spans="1:11" ht="63" x14ac:dyDescent="0.25">
      <c r="A2110" s="1" t="str">
        <f>"703/2014"</f>
        <v>703/2014</v>
      </c>
      <c r="B2110" s="1" t="s">
        <v>14</v>
      </c>
      <c r="C2110" s="1" t="s">
        <v>974</v>
      </c>
      <c r="D2110" s="1" t="str">
        <f t="shared" si="17"/>
        <v>Z-2014-10</v>
      </c>
      <c r="E2110" s="1" t="s">
        <v>40</v>
      </c>
      <c r="F2110" s="1" t="s">
        <v>503</v>
      </c>
      <c r="G2110" s="1" t="str">
        <f t="shared" si="18"/>
        <v>20.10.2014.
do zaključenja Ugovora za 2015. godinu</v>
      </c>
      <c r="H2110" s="1" t="str">
        <f>CONCATENATE("SUČEVIĆ I PARTNERI, ODVJETNIČKO DRUŠTVO D.O.O, ZAGREB")</f>
        <v>SUČEVIĆ I PARTNERI, ODVJETNIČKO DRUŠTVO D.O.O, ZAGREB</v>
      </c>
      <c r="I2110" s="2"/>
      <c r="J2110" s="1"/>
      <c r="K2110" s="1" t="s">
        <v>607</v>
      </c>
    </row>
    <row r="2111" spans="1:11" ht="63" x14ac:dyDescent="0.25">
      <c r="A2111" s="1" t="str">
        <f>"704/2014"</f>
        <v>704/2014</v>
      </c>
      <c r="B2111" s="1" t="s">
        <v>14</v>
      </c>
      <c r="C2111" s="1" t="s">
        <v>974</v>
      </c>
      <c r="D2111" s="1" t="str">
        <f t="shared" si="17"/>
        <v>Z-2014-10</v>
      </c>
      <c r="E2111" s="1" t="s">
        <v>40</v>
      </c>
      <c r="F2111" s="1" t="s">
        <v>503</v>
      </c>
      <c r="G2111" s="1" t="str">
        <f t="shared" si="18"/>
        <v>20.10.2014.
do zaključenja Ugovora za 2015. godinu</v>
      </c>
      <c r="H2111" s="1" t="str">
        <f>CONCATENATE("KRAJNOVIĆ VEDRAN, ODVJETNIK, ZAGREB")</f>
        <v>KRAJNOVIĆ VEDRAN, ODVJETNIK, ZAGREB</v>
      </c>
      <c r="I2111" s="2"/>
      <c r="J2111" s="1"/>
      <c r="K2111" s="1" t="s">
        <v>607</v>
      </c>
    </row>
    <row r="2112" spans="1:11" ht="63" x14ac:dyDescent="0.25">
      <c r="A2112" s="1" t="str">
        <f>"705/2014"</f>
        <v>705/2014</v>
      </c>
      <c r="B2112" s="1" t="s">
        <v>14</v>
      </c>
      <c r="C2112" s="1" t="s">
        <v>974</v>
      </c>
      <c r="D2112" s="1" t="str">
        <f t="shared" si="17"/>
        <v>Z-2014-10</v>
      </c>
      <c r="E2112" s="1" t="s">
        <v>40</v>
      </c>
      <c r="F2112" s="1" t="s">
        <v>503</v>
      </c>
      <c r="G2112" s="1" t="str">
        <f t="shared" si="18"/>
        <v>20.10.2014.
do zaključenja Ugovora za 2015. godinu</v>
      </c>
      <c r="H2112" s="1" t="str">
        <f>CONCATENATE("JERKOVIĆ DRAŽEN, ODVJETNIK, ZAGREB")</f>
        <v>JERKOVIĆ DRAŽEN, ODVJETNIK, ZAGREB</v>
      </c>
      <c r="I2112" s="2"/>
      <c r="J2112" s="1"/>
      <c r="K2112" s="1" t="s">
        <v>607</v>
      </c>
    </row>
    <row r="2113" spans="1:11" ht="63" x14ac:dyDescent="0.25">
      <c r="A2113" s="1" t="str">
        <f>"706/2014"</f>
        <v>706/2014</v>
      </c>
      <c r="B2113" s="1" t="s">
        <v>14</v>
      </c>
      <c r="C2113" s="1" t="s">
        <v>974</v>
      </c>
      <c r="D2113" s="1" t="str">
        <f t="shared" si="17"/>
        <v>Z-2014-10</v>
      </c>
      <c r="E2113" s="1" t="s">
        <v>40</v>
      </c>
      <c r="F2113" s="1" t="s">
        <v>503</v>
      </c>
      <c r="G2113" s="1" t="str">
        <f t="shared" si="18"/>
        <v>20.10.2014.
do zaključenja Ugovora za 2015. godinu</v>
      </c>
      <c r="H2113" s="1" t="str">
        <f>CONCATENATE("PULJIZ ZORAN, ODVJETNIK, ZAGREB")</f>
        <v>PULJIZ ZORAN, ODVJETNIK, ZAGREB</v>
      </c>
      <c r="I2113" s="2"/>
      <c r="J2113" s="1"/>
      <c r="K2113" s="1" t="s">
        <v>607</v>
      </c>
    </row>
    <row r="2114" spans="1:11" ht="63" x14ac:dyDescent="0.25">
      <c r="A2114" s="1" t="str">
        <f>"707/2014"</f>
        <v>707/2014</v>
      </c>
      <c r="B2114" s="1" t="s">
        <v>14</v>
      </c>
      <c r="C2114" s="1" t="s">
        <v>974</v>
      </c>
      <c r="D2114" s="1" t="str">
        <f t="shared" si="17"/>
        <v>Z-2014-10</v>
      </c>
      <c r="E2114" s="1" t="s">
        <v>40</v>
      </c>
      <c r="F2114" s="1" t="s">
        <v>503</v>
      </c>
      <c r="G2114" s="1" t="str">
        <f t="shared" si="18"/>
        <v>20.10.2014.
do zaključenja Ugovora za 2015. godinu</v>
      </c>
      <c r="H2114" s="1" t="str">
        <f>CONCATENATE("HUKELJ ANITA, ODVJETNICA, ZAGREB")</f>
        <v>HUKELJ ANITA, ODVJETNICA, ZAGREB</v>
      </c>
      <c r="I2114" s="2"/>
      <c r="J2114" s="1"/>
      <c r="K2114" s="1" t="s">
        <v>607</v>
      </c>
    </row>
    <row r="2115" spans="1:11" ht="63" x14ac:dyDescent="0.25">
      <c r="A2115" s="1" t="str">
        <f>"708/2014"</f>
        <v>708/2014</v>
      </c>
      <c r="B2115" s="1" t="s">
        <v>14</v>
      </c>
      <c r="C2115" s="1" t="s">
        <v>974</v>
      </c>
      <c r="D2115" s="1" t="str">
        <f t="shared" si="17"/>
        <v>Z-2014-10</v>
      </c>
      <c r="E2115" s="1" t="s">
        <v>40</v>
      </c>
      <c r="F2115" s="1" t="s">
        <v>503</v>
      </c>
      <c r="G2115" s="1" t="str">
        <f t="shared" si="18"/>
        <v>20.10.2014.
do zaključenja Ugovora za 2015. godinu</v>
      </c>
      <c r="H2115" s="1" t="str">
        <f>CONCATENATE("SOKOL LANA, ODVJETNICA, ZAGREB")</f>
        <v>SOKOL LANA, ODVJETNICA, ZAGREB</v>
      </c>
      <c r="I2115" s="2"/>
      <c r="J2115" s="1"/>
      <c r="K2115" s="1" t="s">
        <v>607</v>
      </c>
    </row>
    <row r="2116" spans="1:11" ht="63" x14ac:dyDescent="0.25">
      <c r="A2116" s="1" t="str">
        <f>"709/2014"</f>
        <v>709/2014</v>
      </c>
      <c r="B2116" s="1" t="s">
        <v>14</v>
      </c>
      <c r="C2116" s="1" t="s">
        <v>974</v>
      </c>
      <c r="D2116" s="1" t="str">
        <f t="shared" si="17"/>
        <v>Z-2014-10</v>
      </c>
      <c r="E2116" s="1" t="s">
        <v>40</v>
      </c>
      <c r="F2116" s="1" t="s">
        <v>503</v>
      </c>
      <c r="G2116" s="1" t="str">
        <f t="shared" si="18"/>
        <v>20.10.2014.
do zaključenja Ugovora za 2015. godinu</v>
      </c>
      <c r="H2116" s="1" t="str">
        <f>CONCATENATE("CVETKOVIĆ NIKOLA, ODVJETNIK, ZAGREB")</f>
        <v>CVETKOVIĆ NIKOLA, ODVJETNIK, ZAGREB</v>
      </c>
      <c r="I2116" s="2"/>
      <c r="J2116" s="1"/>
      <c r="K2116" s="1" t="s">
        <v>607</v>
      </c>
    </row>
    <row r="2117" spans="1:11" ht="63" x14ac:dyDescent="0.25">
      <c r="A2117" s="1" t="str">
        <f>"710/2014"</f>
        <v>710/2014</v>
      </c>
      <c r="B2117" s="1" t="s">
        <v>14</v>
      </c>
      <c r="C2117" s="1" t="s">
        <v>974</v>
      </c>
      <c r="D2117" s="1" t="str">
        <f t="shared" si="17"/>
        <v>Z-2014-10</v>
      </c>
      <c r="E2117" s="1" t="s">
        <v>40</v>
      </c>
      <c r="F2117" s="1" t="s">
        <v>503</v>
      </c>
      <c r="G2117" s="1" t="str">
        <f t="shared" si="18"/>
        <v>20.10.2014.
do zaključenja Ugovora za 2015. godinu</v>
      </c>
      <c r="H2117" s="1" t="str">
        <f>CONCATENATE("ANIŠIĆ BORIS, ODVJETNIK, ZAGREB")</f>
        <v>ANIŠIĆ BORIS, ODVJETNIK, ZAGREB</v>
      </c>
      <c r="I2117" s="2"/>
      <c r="J2117" s="1"/>
      <c r="K2117" s="1" t="s">
        <v>607</v>
      </c>
    </row>
    <row r="2118" spans="1:11" ht="63" x14ac:dyDescent="0.25">
      <c r="A2118" s="1" t="str">
        <f>"711/2014"</f>
        <v>711/2014</v>
      </c>
      <c r="B2118" s="1" t="s">
        <v>14</v>
      </c>
      <c r="C2118" s="1" t="s">
        <v>974</v>
      </c>
      <c r="D2118" s="1" t="str">
        <f t="shared" si="17"/>
        <v>Z-2014-10</v>
      </c>
      <c r="E2118" s="1" t="s">
        <v>40</v>
      </c>
      <c r="F2118" s="1" t="s">
        <v>503</v>
      </c>
      <c r="G2118" s="1" t="str">
        <f t="shared" si="18"/>
        <v>20.10.2014.
do zaključenja Ugovora za 2015. godinu</v>
      </c>
      <c r="H2118" s="1" t="str">
        <f>CONCATENATE("TABAK SINIŠA, ODVJETNIK, ZAGREB")</f>
        <v>TABAK SINIŠA, ODVJETNIK, ZAGREB</v>
      </c>
      <c r="I2118" s="2"/>
      <c r="J2118" s="1"/>
      <c r="K2118" s="1" t="s">
        <v>607</v>
      </c>
    </row>
    <row r="2119" spans="1:11" ht="63" x14ac:dyDescent="0.25">
      <c r="A2119" s="1" t="str">
        <f>"712/2014"</f>
        <v>712/2014</v>
      </c>
      <c r="B2119" s="1" t="s">
        <v>14</v>
      </c>
      <c r="C2119" s="1" t="s">
        <v>974</v>
      </c>
      <c r="D2119" s="1" t="str">
        <f t="shared" si="17"/>
        <v>Z-2014-10</v>
      </c>
      <c r="E2119" s="1" t="s">
        <v>40</v>
      </c>
      <c r="F2119" s="1" t="s">
        <v>503</v>
      </c>
      <c r="G2119" s="1" t="str">
        <f t="shared" si="18"/>
        <v>20.10.2014.
do zaključenja Ugovora za 2015. godinu</v>
      </c>
      <c r="H2119" s="1" t="str">
        <f>CONCATENATE("RABAR&amp; VISKOVIĆ ODVJETNIČKO DRUŠTVO, J.T.D., ZAGREB")</f>
        <v>RABAR&amp; VISKOVIĆ ODVJETNIČKO DRUŠTVO, J.T.D., ZAGREB</v>
      </c>
      <c r="I2119" s="2"/>
      <c r="J2119" s="1"/>
      <c r="K2119" s="1" t="s">
        <v>607</v>
      </c>
    </row>
    <row r="2120" spans="1:11" ht="63" x14ac:dyDescent="0.25">
      <c r="A2120" s="1" t="str">
        <f>"713/2014"</f>
        <v>713/2014</v>
      </c>
      <c r="B2120" s="1" t="s">
        <v>14</v>
      </c>
      <c r="C2120" s="1" t="s">
        <v>974</v>
      </c>
      <c r="D2120" s="1" t="str">
        <f t="shared" si="17"/>
        <v>Z-2014-10</v>
      </c>
      <c r="E2120" s="1" t="s">
        <v>40</v>
      </c>
      <c r="F2120" s="1" t="s">
        <v>503</v>
      </c>
      <c r="G2120" s="1" t="str">
        <f t="shared" si="18"/>
        <v>20.10.2014.
do zaključenja Ugovora za 2015. godinu</v>
      </c>
      <c r="H2120" s="1" t="str">
        <f>CONCATENATE("ODVJETNIČKO DRUŠTVO GALETOVIĆ I GALETOVIĆ D.O.O., ZAGREB")</f>
        <v>ODVJETNIČKO DRUŠTVO GALETOVIĆ I GALETOVIĆ D.O.O., ZAGREB</v>
      </c>
      <c r="I2120" s="2"/>
      <c r="J2120" s="1"/>
      <c r="K2120" s="1" t="s">
        <v>607</v>
      </c>
    </row>
    <row r="2121" spans="1:11" ht="63" x14ac:dyDescent="0.25">
      <c r="A2121" s="1" t="str">
        <f>"714/2014"</f>
        <v>714/2014</v>
      </c>
      <c r="B2121" s="1" t="s">
        <v>14</v>
      </c>
      <c r="C2121" s="1" t="s">
        <v>974</v>
      </c>
      <c r="D2121" s="1" t="str">
        <f t="shared" si="17"/>
        <v>Z-2014-10</v>
      </c>
      <c r="E2121" s="1" t="s">
        <v>40</v>
      </c>
      <c r="F2121" s="1" t="s">
        <v>503</v>
      </c>
      <c r="G2121" s="1" t="str">
        <f t="shared" si="18"/>
        <v>20.10.2014.
do zaključenja Ugovora za 2015. godinu</v>
      </c>
      <c r="H2121" s="1" t="str">
        <f>CONCATENATE("ODVJETNIČKO DRUŠTVO DRAGIČEVIĆ I PARTNERI D.O.O., ZAGREB")</f>
        <v>ODVJETNIČKO DRUŠTVO DRAGIČEVIĆ I PARTNERI D.O.O., ZAGREB</v>
      </c>
      <c r="I2121" s="2"/>
      <c r="J2121" s="1"/>
      <c r="K2121" s="1" t="s">
        <v>607</v>
      </c>
    </row>
    <row r="2122" spans="1:11" ht="63" x14ac:dyDescent="0.25">
      <c r="A2122" s="1" t="str">
        <f>"715/2014"</f>
        <v>715/2014</v>
      </c>
      <c r="B2122" s="1" t="s">
        <v>14</v>
      </c>
      <c r="C2122" s="1" t="s">
        <v>974</v>
      </c>
      <c r="D2122" s="1" t="str">
        <f t="shared" si="17"/>
        <v>Z-2014-10</v>
      </c>
      <c r="E2122" s="1" t="s">
        <v>40</v>
      </c>
      <c r="F2122" s="1" t="s">
        <v>503</v>
      </c>
      <c r="G2122" s="1" t="str">
        <f t="shared" si="18"/>
        <v>20.10.2014.
do zaključenja Ugovora za 2015. godinu</v>
      </c>
      <c r="H2122" s="1" t="str">
        <f>CONCATENATE("CIRKVENI &amp; PARTNERI, ODVJETNIČKO DRUŠTVO J.T.D., ZAGREB")</f>
        <v>CIRKVENI &amp; PARTNERI, ODVJETNIČKO DRUŠTVO J.T.D., ZAGREB</v>
      </c>
      <c r="I2122" s="2"/>
      <c r="J2122" s="1"/>
      <c r="K2122" s="1" t="s">
        <v>607</v>
      </c>
    </row>
    <row r="2123" spans="1:11" ht="63" x14ac:dyDescent="0.25">
      <c r="A2123" s="1" t="str">
        <f>"716/2014"</f>
        <v>716/2014</v>
      </c>
      <c r="B2123" s="1" t="s">
        <v>14</v>
      </c>
      <c r="C2123" s="1" t="s">
        <v>974</v>
      </c>
      <c r="D2123" s="1" t="str">
        <f t="shared" si="17"/>
        <v>Z-2014-10</v>
      </c>
      <c r="E2123" s="1" t="s">
        <v>40</v>
      </c>
      <c r="F2123" s="1" t="s">
        <v>503</v>
      </c>
      <c r="G2123" s="1" t="str">
        <f t="shared" si="18"/>
        <v>20.10.2014.
do zaključenja Ugovora za 2015. godinu</v>
      </c>
      <c r="H2123" s="1" t="str">
        <f>CONCATENATE("ODVJETNIČKO DRUŠTVO FARČIĆ &amp; ŠARUŠIĆ J.T.D., ZAGREB")</f>
        <v>ODVJETNIČKO DRUŠTVO FARČIĆ &amp; ŠARUŠIĆ J.T.D., ZAGREB</v>
      </c>
      <c r="I2123" s="2"/>
      <c r="J2123" s="1"/>
      <c r="K2123" s="1" t="s">
        <v>607</v>
      </c>
    </row>
    <row r="2124" spans="1:11" ht="63" x14ac:dyDescent="0.25">
      <c r="A2124" s="1" t="str">
        <f>"717/2014"</f>
        <v>717/2014</v>
      </c>
      <c r="B2124" s="1" t="s">
        <v>14</v>
      </c>
      <c r="C2124" s="1" t="s">
        <v>974</v>
      </c>
      <c r="D2124" s="1" t="str">
        <f t="shared" si="17"/>
        <v>Z-2014-10</v>
      </c>
      <c r="E2124" s="1" t="s">
        <v>40</v>
      </c>
      <c r="F2124" s="1" t="s">
        <v>503</v>
      </c>
      <c r="G2124" s="1" t="str">
        <f t="shared" si="18"/>
        <v>20.10.2014.
do zaključenja Ugovora za 2015. godinu</v>
      </c>
      <c r="H2124" s="1" t="str">
        <f>CONCATENATE("TOMAŠEVIĆ RANKO, ODVJETNIK, ZAGREB")</f>
        <v>TOMAŠEVIĆ RANKO, ODVJETNIK, ZAGREB</v>
      </c>
      <c r="I2124" s="2"/>
      <c r="J2124" s="1"/>
      <c r="K2124" s="1" t="s">
        <v>607</v>
      </c>
    </row>
    <row r="2125" spans="1:11" ht="63" x14ac:dyDescent="0.25">
      <c r="A2125" s="1" t="str">
        <f>"718/2014"</f>
        <v>718/2014</v>
      </c>
      <c r="B2125" s="1" t="s">
        <v>14</v>
      </c>
      <c r="C2125" s="1" t="s">
        <v>974</v>
      </c>
      <c r="D2125" s="1" t="str">
        <f t="shared" si="17"/>
        <v>Z-2014-10</v>
      </c>
      <c r="E2125" s="1" t="s">
        <v>40</v>
      </c>
      <c r="F2125" s="1" t="s">
        <v>503</v>
      </c>
      <c r="G2125" s="1" t="str">
        <f t="shared" si="18"/>
        <v>20.10.2014.
do zaključenja Ugovora za 2015. godinu</v>
      </c>
      <c r="H2125" s="1" t="str">
        <f>CONCATENATE("KRSNIK KREŠIMIR, ODVJETNIK, ZAGREB")</f>
        <v>KRSNIK KREŠIMIR, ODVJETNIK, ZAGREB</v>
      </c>
      <c r="I2125" s="2"/>
      <c r="J2125" s="1"/>
      <c r="K2125" s="1" t="s">
        <v>607</v>
      </c>
    </row>
    <row r="2126" spans="1:11" ht="63" x14ac:dyDescent="0.25">
      <c r="A2126" s="1" t="str">
        <f>"719/2014"</f>
        <v>719/2014</v>
      </c>
      <c r="B2126" s="1" t="s">
        <v>14</v>
      </c>
      <c r="C2126" s="1" t="s">
        <v>974</v>
      </c>
      <c r="D2126" s="1" t="str">
        <f t="shared" si="17"/>
        <v>Z-2014-10</v>
      </c>
      <c r="E2126" s="1" t="s">
        <v>40</v>
      </c>
      <c r="F2126" s="1" t="s">
        <v>503</v>
      </c>
      <c r="G2126" s="1" t="str">
        <f t="shared" si="18"/>
        <v>20.10.2014.
do zaključenja Ugovora za 2015. godinu</v>
      </c>
      <c r="H2126" s="1" t="str">
        <f>CONCATENATE("ODVJETNIČKO DRUŠTVO ŽUPIĆ &amp; PARTNERI D.O.O., ZAGREB")</f>
        <v>ODVJETNIČKO DRUŠTVO ŽUPIĆ &amp; PARTNERI D.O.O., ZAGREB</v>
      </c>
      <c r="I2126" s="2"/>
      <c r="J2126" s="1"/>
      <c r="K2126" s="1" t="s">
        <v>607</v>
      </c>
    </row>
    <row r="2127" spans="1:11" ht="63" x14ac:dyDescent="0.25">
      <c r="A2127" s="1" t="str">
        <f>"720/2014"</f>
        <v>720/2014</v>
      </c>
      <c r="B2127" s="1" t="s">
        <v>14</v>
      </c>
      <c r="C2127" s="1" t="s">
        <v>974</v>
      </c>
      <c r="D2127" s="1" t="str">
        <f t="shared" si="17"/>
        <v>Z-2014-10</v>
      </c>
      <c r="E2127" s="1" t="s">
        <v>40</v>
      </c>
      <c r="F2127" s="1" t="s">
        <v>503</v>
      </c>
      <c r="G2127" s="1" t="str">
        <f t="shared" si="18"/>
        <v>20.10.2014.
do zaključenja Ugovora za 2015. godinu</v>
      </c>
      <c r="H2127" s="1" t="str">
        <f>CONCATENATE("ODVJETNIČKO DRUŠTVO HANŽEKOVIĆ &amp; PARTNERI D.O.O., ZAGREB")</f>
        <v>ODVJETNIČKO DRUŠTVO HANŽEKOVIĆ &amp; PARTNERI D.O.O., ZAGREB</v>
      </c>
      <c r="I2127" s="2"/>
      <c r="J2127" s="1"/>
      <c r="K2127" s="1" t="s">
        <v>607</v>
      </c>
    </row>
    <row r="2128" spans="1:11" ht="63" x14ac:dyDescent="0.25">
      <c r="A2128" s="1" t="str">
        <f>"721/2014"</f>
        <v>721/2014</v>
      </c>
      <c r="B2128" s="1" t="s">
        <v>14</v>
      </c>
      <c r="C2128" s="1" t="s">
        <v>974</v>
      </c>
      <c r="D2128" s="1" t="str">
        <f t="shared" si="17"/>
        <v>Z-2014-10</v>
      </c>
      <c r="E2128" s="1" t="s">
        <v>40</v>
      </c>
      <c r="F2128" s="1" t="s">
        <v>503</v>
      </c>
      <c r="G2128" s="1" t="str">
        <f t="shared" si="18"/>
        <v>20.10.2014.
do zaključenja Ugovora za 2015. godinu</v>
      </c>
      <c r="H2128" s="1" t="str">
        <f>CONCATENATE("SABLJIĆ MARIJANA, ODVJETNICA, ZAGREB")</f>
        <v>SABLJIĆ MARIJANA, ODVJETNICA, ZAGREB</v>
      </c>
      <c r="I2128" s="2"/>
      <c r="J2128" s="1"/>
      <c r="K2128" s="1" t="s">
        <v>607</v>
      </c>
    </row>
    <row r="2129" spans="1:11" ht="63" x14ac:dyDescent="0.25">
      <c r="A2129" s="1" t="str">
        <f>"722/2014"</f>
        <v>722/2014</v>
      </c>
      <c r="B2129" s="1" t="s">
        <v>14</v>
      </c>
      <c r="C2129" s="1" t="s">
        <v>974</v>
      </c>
      <c r="D2129" s="1" t="str">
        <f t="shared" si="17"/>
        <v>Z-2014-10</v>
      </c>
      <c r="E2129" s="1" t="s">
        <v>40</v>
      </c>
      <c r="F2129" s="1" t="s">
        <v>503</v>
      </c>
      <c r="G2129" s="1" t="str">
        <f t="shared" si="18"/>
        <v>20.10.2014.
do zaključenja Ugovora za 2015. godinu</v>
      </c>
      <c r="H2129" s="1" t="str">
        <f>CONCATENATE("ZAJEDNIČKI ODVJETNIČKI URED PALINIĆ DRAGOVIĆ, ZAGREB")</f>
        <v>ZAJEDNIČKI ODVJETNIČKI URED PALINIĆ DRAGOVIĆ, ZAGREB</v>
      </c>
      <c r="I2129" s="2"/>
      <c r="J2129" s="1"/>
      <c r="K2129" s="1" t="s">
        <v>607</v>
      </c>
    </row>
    <row r="2130" spans="1:11" ht="63" x14ac:dyDescent="0.25">
      <c r="A2130" s="1" t="str">
        <f>"723/2014"</f>
        <v>723/2014</v>
      </c>
      <c r="B2130" s="1" t="s">
        <v>14</v>
      </c>
      <c r="C2130" s="1" t="s">
        <v>974</v>
      </c>
      <c r="D2130" s="1" t="str">
        <f t="shared" si="17"/>
        <v>Z-2014-10</v>
      </c>
      <c r="E2130" s="1" t="s">
        <v>40</v>
      </c>
      <c r="F2130" s="1" t="s">
        <v>503</v>
      </c>
      <c r="G2130" s="1" t="str">
        <f t="shared" si="18"/>
        <v>20.10.2014.
do zaključenja Ugovora za 2015. godinu</v>
      </c>
      <c r="H2130" s="1" t="str">
        <f>CONCATENATE("DUVNJAK LUKA, ODVJETNIK, ZAGREB")</f>
        <v>DUVNJAK LUKA, ODVJETNIK, ZAGREB</v>
      </c>
      <c r="I2130" s="2"/>
      <c r="J2130" s="1"/>
      <c r="K2130" s="1" t="s">
        <v>607</v>
      </c>
    </row>
    <row r="2131" spans="1:11" ht="63" x14ac:dyDescent="0.25">
      <c r="A2131" s="1" t="str">
        <f>"724/2014"</f>
        <v>724/2014</v>
      </c>
      <c r="B2131" s="1" t="s">
        <v>14</v>
      </c>
      <c r="C2131" s="1" t="s">
        <v>974</v>
      </c>
      <c r="D2131" s="1" t="str">
        <f t="shared" si="17"/>
        <v>Z-2014-10</v>
      </c>
      <c r="E2131" s="1" t="s">
        <v>40</v>
      </c>
      <c r="F2131" s="1" t="s">
        <v>503</v>
      </c>
      <c r="G2131" s="1" t="str">
        <f t="shared" si="18"/>
        <v>20.10.2014.
do zaključenja Ugovora za 2015. godinu</v>
      </c>
      <c r="H2131" s="1" t="str">
        <f>CONCATENATE("ODVJETNIK MR.SC. IVICA PEZO, ZAGREB")</f>
        <v>ODVJETNIK MR.SC. IVICA PEZO, ZAGREB</v>
      </c>
      <c r="I2131" s="2"/>
      <c r="J2131" s="1"/>
      <c r="K2131" s="1" t="s">
        <v>607</v>
      </c>
    </row>
    <row r="2132" spans="1:11" ht="63" x14ac:dyDescent="0.25">
      <c r="A2132" s="1" t="str">
        <f>"725/2014"</f>
        <v>725/2014</v>
      </c>
      <c r="B2132" s="1" t="s">
        <v>14</v>
      </c>
      <c r="C2132" s="1" t="s">
        <v>974</v>
      </c>
      <c r="D2132" s="1" t="str">
        <f t="shared" si="17"/>
        <v>Z-2014-10</v>
      </c>
      <c r="E2132" s="1" t="s">
        <v>40</v>
      </c>
      <c r="F2132" s="1" t="s">
        <v>503</v>
      </c>
      <c r="G2132" s="1" t="str">
        <f t="shared" si="18"/>
        <v>20.10.2014.
do zaključenja Ugovora za 2015. godinu</v>
      </c>
      <c r="H2132" s="1" t="str">
        <f>CONCATENATE("ODVJETNIČKO DRUŠTVO GLAMUZINA &amp; GROŠETA D.O.O., ZAGREB")</f>
        <v>ODVJETNIČKO DRUŠTVO GLAMUZINA &amp; GROŠETA D.O.O., ZAGREB</v>
      </c>
      <c r="I2132" s="2"/>
      <c r="J2132" s="1"/>
      <c r="K2132" s="1" t="s">
        <v>607</v>
      </c>
    </row>
    <row r="2133" spans="1:11" ht="63" x14ac:dyDescent="0.25">
      <c r="A2133" s="1" t="str">
        <f>"726/2014"</f>
        <v>726/2014</v>
      </c>
      <c r="B2133" s="1" t="s">
        <v>14</v>
      </c>
      <c r="C2133" s="1" t="s">
        <v>974</v>
      </c>
      <c r="D2133" s="1" t="str">
        <f t="shared" si="17"/>
        <v>Z-2014-10</v>
      </c>
      <c r="E2133" s="1" t="s">
        <v>40</v>
      </c>
      <c r="F2133" s="1" t="s">
        <v>503</v>
      </c>
      <c r="G2133" s="1" t="str">
        <f t="shared" si="18"/>
        <v>20.10.2014.
do zaključenja Ugovora za 2015. godinu</v>
      </c>
      <c r="H2133" s="1" t="str">
        <f>CONCATENATE("PETER ŽELJKA, ODVJETNICA, ZAGREB")</f>
        <v>PETER ŽELJKA, ODVJETNICA, ZAGREB</v>
      </c>
      <c r="I2133" s="2"/>
      <c r="J2133" s="1"/>
      <c r="K2133" s="1" t="s">
        <v>607</v>
      </c>
    </row>
    <row r="2134" spans="1:11" ht="63" x14ac:dyDescent="0.25">
      <c r="A2134" s="1" t="str">
        <f>"727/2014"</f>
        <v>727/2014</v>
      </c>
      <c r="B2134" s="1" t="s">
        <v>14</v>
      </c>
      <c r="C2134" s="1" t="s">
        <v>974</v>
      </c>
      <c r="D2134" s="1" t="str">
        <f t="shared" si="17"/>
        <v>Z-2014-10</v>
      </c>
      <c r="E2134" s="1" t="s">
        <v>40</v>
      </c>
      <c r="F2134" s="1" t="s">
        <v>503</v>
      </c>
      <c r="G2134" s="1" t="str">
        <f t="shared" si="18"/>
        <v>20.10.2014.
do zaključenja Ugovora za 2015. godinu</v>
      </c>
      <c r="H2134" s="1" t="str">
        <f>CONCATENATE("KOŽAR ANDREA, ODVJETNICA, ZAGREB")</f>
        <v>KOŽAR ANDREA, ODVJETNICA, ZAGREB</v>
      </c>
      <c r="I2134" s="2"/>
      <c r="J2134" s="1"/>
      <c r="K2134" s="1" t="s">
        <v>607</v>
      </c>
    </row>
    <row r="2135" spans="1:11" ht="63" x14ac:dyDescent="0.25">
      <c r="A2135" s="1" t="str">
        <f>"728/2014"</f>
        <v>728/2014</v>
      </c>
      <c r="B2135" s="1" t="s">
        <v>14</v>
      </c>
      <c r="C2135" s="1" t="s">
        <v>974</v>
      </c>
      <c r="D2135" s="1" t="str">
        <f t="shared" si="17"/>
        <v>Z-2014-10</v>
      </c>
      <c r="E2135" s="1" t="s">
        <v>40</v>
      </c>
      <c r="F2135" s="1" t="s">
        <v>503</v>
      </c>
      <c r="G2135" s="1" t="str">
        <f t="shared" si="18"/>
        <v>20.10.2014.
do zaključenja Ugovora za 2015. godinu</v>
      </c>
      <c r="H2135" s="1" t="str">
        <f>CONCATENATE("ODVJETNIČKO DRUŠTVO CVITKOVIĆ &amp; DEVIDÉ J.T.D., ZAGREB")</f>
        <v>ODVJETNIČKO DRUŠTVO CVITKOVIĆ &amp; DEVIDÉ J.T.D., ZAGREB</v>
      </c>
      <c r="I2135" s="2"/>
      <c r="J2135" s="1"/>
      <c r="K2135" s="1" t="s">
        <v>607</v>
      </c>
    </row>
    <row r="2136" spans="1:11" ht="63" x14ac:dyDescent="0.25">
      <c r="A2136" s="1" t="str">
        <f>"729/2014"</f>
        <v>729/2014</v>
      </c>
      <c r="B2136" s="1" t="s">
        <v>14</v>
      </c>
      <c r="C2136" s="1" t="s">
        <v>974</v>
      </c>
      <c r="D2136" s="1" t="str">
        <f t="shared" si="17"/>
        <v>Z-2014-10</v>
      </c>
      <c r="E2136" s="1" t="s">
        <v>40</v>
      </c>
      <c r="F2136" s="1" t="s">
        <v>503</v>
      </c>
      <c r="G2136" s="1" t="str">
        <f t="shared" si="18"/>
        <v>20.10.2014.
do zaključenja Ugovora za 2015. godinu</v>
      </c>
      <c r="H2136" s="1" t="str">
        <f>CONCATENATE("ŠUŠNJAR KREŠIMIR, ODVJETNIK, ZAGREB")</f>
        <v>ŠUŠNJAR KREŠIMIR, ODVJETNIK, ZAGREB</v>
      </c>
      <c r="I2136" s="2"/>
      <c r="J2136" s="1"/>
      <c r="K2136" s="1" t="s">
        <v>607</v>
      </c>
    </row>
    <row r="2137" spans="1:11" ht="110.25" x14ac:dyDescent="0.25">
      <c r="A2137" s="1" t="str">
        <f>"730/2014"</f>
        <v>730/2014</v>
      </c>
      <c r="B2137" s="1" t="s">
        <v>14</v>
      </c>
      <c r="C2137" s="1" t="s">
        <v>974</v>
      </c>
      <c r="D2137" s="1" t="str">
        <f t="shared" si="17"/>
        <v>Z-2014-10</v>
      </c>
      <c r="E2137" s="1" t="s">
        <v>40</v>
      </c>
      <c r="F2137" s="1" t="s">
        <v>503</v>
      </c>
      <c r="G2137" s="1" t="str">
        <f t="shared" si="18"/>
        <v>20.10.2014.
do zaključenja Ugovora za 2015. godinu</v>
      </c>
      <c r="H2137" s="1" t="str">
        <f>CONCATENATE("1. Zajednica ponuditelja: ",CHAR(10),"    ZAJEDNIČKI ODVJETNIČKI URED NERMINA STANČIĆ-ROKOTOV I MIROSLAV ŠUMANOVIĆ ŠUMANOVIĆ, ZAGREB",CHAR(10),"    STANČIĆ - ROKOTOV NIKŠA, ODVJETNIK, ZAGREB")</f>
        <v>1. Zajednica ponuditelja: 
    ZAJEDNIČKI ODVJETNIČKI URED NERMINA STANČIĆ-ROKOTOV I MIROSLAV ŠUMANOVIĆ ŠUMANOVIĆ, ZAGREB
    STANČIĆ - ROKOTOV NIKŠA, ODVJETNIK, ZAGREB</v>
      </c>
      <c r="I2137" s="2"/>
      <c r="J2137" s="1"/>
      <c r="K2137" s="1" t="s">
        <v>607</v>
      </c>
    </row>
    <row r="2138" spans="1:11" ht="63" x14ac:dyDescent="0.25">
      <c r="A2138" s="1" t="str">
        <f>"731/2014"</f>
        <v>731/2014</v>
      </c>
      <c r="B2138" s="1" t="s">
        <v>14</v>
      </c>
      <c r="C2138" s="1" t="s">
        <v>974</v>
      </c>
      <c r="D2138" s="1" t="str">
        <f t="shared" si="17"/>
        <v>Z-2014-10</v>
      </c>
      <c r="E2138" s="1" t="s">
        <v>40</v>
      </c>
      <c r="F2138" s="1" t="s">
        <v>503</v>
      </c>
      <c r="G2138" s="1" t="str">
        <f t="shared" si="18"/>
        <v>20.10.2014.
do zaključenja Ugovora za 2015. godinu</v>
      </c>
      <c r="H2138" s="1" t="str">
        <f>CONCATENATE("KOS I PARTNERI ODVJETNIČKO DRUŠTVO J.T.D., ZAGREB")</f>
        <v>KOS I PARTNERI ODVJETNIČKO DRUŠTVO J.T.D., ZAGREB</v>
      </c>
      <c r="I2138" s="2"/>
      <c r="J2138" s="1"/>
      <c r="K2138" s="1" t="s">
        <v>607</v>
      </c>
    </row>
    <row r="2139" spans="1:11" ht="63" x14ac:dyDescent="0.25">
      <c r="A2139" s="1" t="str">
        <f>"732/2014"</f>
        <v>732/2014</v>
      </c>
      <c r="B2139" s="1" t="s">
        <v>14</v>
      </c>
      <c r="C2139" s="1" t="s">
        <v>974</v>
      </c>
      <c r="D2139" s="1" t="str">
        <f t="shared" si="17"/>
        <v>Z-2014-10</v>
      </c>
      <c r="E2139" s="1" t="s">
        <v>40</v>
      </c>
      <c r="F2139" s="1" t="s">
        <v>503</v>
      </c>
      <c r="G2139" s="1" t="str">
        <f t="shared" si="18"/>
        <v>20.10.2014.
do zaključenja Ugovora za 2015. godinu</v>
      </c>
      <c r="H2139" s="1" t="str">
        <f>CONCATENATE("ODVJETNIČKO DRUŠTVO MILJEVIĆ I PARTNERI, ZAGREB")</f>
        <v>ODVJETNIČKO DRUŠTVO MILJEVIĆ I PARTNERI, ZAGREB</v>
      </c>
      <c r="I2139" s="2"/>
      <c r="J2139" s="1"/>
      <c r="K2139" s="1" t="s">
        <v>607</v>
      </c>
    </row>
    <row r="2140" spans="1:11" ht="63" x14ac:dyDescent="0.25">
      <c r="A2140" s="1" t="str">
        <f>"733/2014"</f>
        <v>733/2014</v>
      </c>
      <c r="B2140" s="1" t="s">
        <v>14</v>
      </c>
      <c r="C2140" s="1" t="s">
        <v>974</v>
      </c>
      <c r="D2140" s="1" t="str">
        <f t="shared" si="17"/>
        <v>Z-2014-10</v>
      </c>
      <c r="E2140" s="1" t="s">
        <v>40</v>
      </c>
      <c r="F2140" s="1" t="s">
        <v>503</v>
      </c>
      <c r="G2140" s="1" t="str">
        <f t="shared" si="18"/>
        <v>20.10.2014.
do zaključenja Ugovora za 2015. godinu</v>
      </c>
      <c r="H2140" s="1" t="str">
        <f>CONCATENATE("CVITANUŠIĆ MARIJA, ODVJETNICA, ZAGREB")</f>
        <v>CVITANUŠIĆ MARIJA, ODVJETNICA, ZAGREB</v>
      </c>
      <c r="I2140" s="2"/>
      <c r="J2140" s="1"/>
      <c r="K2140" s="1" t="s">
        <v>607</v>
      </c>
    </row>
    <row r="2141" spans="1:11" ht="63" x14ac:dyDescent="0.25">
      <c r="A2141" s="1" t="str">
        <f>"734/2014"</f>
        <v>734/2014</v>
      </c>
      <c r="B2141" s="1" t="s">
        <v>14</v>
      </c>
      <c r="C2141" s="1" t="s">
        <v>974</v>
      </c>
      <c r="D2141" s="1" t="str">
        <f t="shared" si="17"/>
        <v>Z-2014-10</v>
      </c>
      <c r="E2141" s="1" t="s">
        <v>40</v>
      </c>
      <c r="F2141" s="1" t="s">
        <v>503</v>
      </c>
      <c r="G2141" s="1" t="str">
        <f t="shared" si="18"/>
        <v>20.10.2014.
do zaključenja Ugovora za 2015. godinu</v>
      </c>
      <c r="H2141" s="1" t="str">
        <f>CONCATENATE("TRAVAŠ I PARTNERI, ODVJETNIČKO DRUŠTVO D.O.O., ZAGREB")</f>
        <v>TRAVAŠ I PARTNERI, ODVJETNIČKO DRUŠTVO D.O.O., ZAGREB</v>
      </c>
      <c r="I2141" s="2"/>
      <c r="J2141" s="1"/>
      <c r="K2141" s="1" t="s">
        <v>607</v>
      </c>
    </row>
    <row r="2142" spans="1:11" ht="63" x14ac:dyDescent="0.25">
      <c r="A2142" s="1" t="str">
        <f>"735/2014"</f>
        <v>735/2014</v>
      </c>
      <c r="B2142" s="1" t="s">
        <v>14</v>
      </c>
      <c r="C2142" s="1" t="s">
        <v>974</v>
      </c>
      <c r="D2142" s="1" t="str">
        <f t="shared" si="17"/>
        <v>Z-2014-10</v>
      </c>
      <c r="E2142" s="1" t="s">
        <v>40</v>
      </c>
      <c r="F2142" s="1" t="s">
        <v>503</v>
      </c>
      <c r="G2142" s="1" t="str">
        <f t="shared" si="18"/>
        <v>20.10.2014.
do zaključenja Ugovora za 2015. godinu</v>
      </c>
      <c r="H2142" s="1" t="str">
        <f>CONCATENATE("GAJSKI MLADEN, ODVJETNIK, ZAGREB")</f>
        <v>GAJSKI MLADEN, ODVJETNIK, ZAGREB</v>
      </c>
      <c r="I2142" s="2"/>
      <c r="J2142" s="1"/>
      <c r="K2142" s="1" t="s">
        <v>607</v>
      </c>
    </row>
    <row r="2143" spans="1:11" ht="63" x14ac:dyDescent="0.25">
      <c r="A2143" s="1" t="str">
        <f>"736/2014"</f>
        <v>736/2014</v>
      </c>
      <c r="B2143" s="1" t="s">
        <v>14</v>
      </c>
      <c r="C2143" s="1" t="s">
        <v>974</v>
      </c>
      <c r="D2143" s="1" t="str">
        <f t="shared" si="17"/>
        <v>Z-2014-10</v>
      </c>
      <c r="E2143" s="1" t="s">
        <v>40</v>
      </c>
      <c r="F2143" s="1" t="s">
        <v>503</v>
      </c>
      <c r="G2143" s="1" t="str">
        <f t="shared" si="18"/>
        <v>20.10.2014.
do zaključenja Ugovora za 2015. godinu</v>
      </c>
      <c r="H2143" s="1" t="str">
        <f>CONCATENATE("BUJIĆ MARKO, ODVJETNIK, ZAGREB")</f>
        <v>BUJIĆ MARKO, ODVJETNIK, ZAGREB</v>
      </c>
      <c r="I2143" s="2"/>
      <c r="J2143" s="1"/>
      <c r="K2143" s="1" t="s">
        <v>607</v>
      </c>
    </row>
    <row r="2144" spans="1:11" ht="63" x14ac:dyDescent="0.25">
      <c r="A2144" s="1" t="str">
        <f>"737/2014"</f>
        <v>737/2014</v>
      </c>
      <c r="B2144" s="1" t="s">
        <v>14</v>
      </c>
      <c r="C2144" s="1" t="s">
        <v>974</v>
      </c>
      <c r="D2144" s="1" t="str">
        <f t="shared" si="17"/>
        <v>Z-2014-10</v>
      </c>
      <c r="E2144" s="1" t="s">
        <v>40</v>
      </c>
      <c r="F2144" s="1" t="s">
        <v>503</v>
      </c>
      <c r="G2144" s="1" t="str">
        <f t="shared" si="18"/>
        <v>20.10.2014.
do zaključenja Ugovora za 2015. godinu</v>
      </c>
      <c r="H2144" s="1" t="str">
        <f>CONCATENATE("ODVJETNIČKO DRUŠTVO ČOGURIĆ &amp; PARTNERI D.O.O., ZAGREB")</f>
        <v>ODVJETNIČKO DRUŠTVO ČOGURIĆ &amp; PARTNERI D.O.O., ZAGREB</v>
      </c>
      <c r="I2144" s="2"/>
      <c r="J2144" s="1"/>
      <c r="K2144" s="1" t="s">
        <v>607</v>
      </c>
    </row>
    <row r="2145" spans="1:11" ht="63" x14ac:dyDescent="0.25">
      <c r="A2145" s="1" t="str">
        <f>"738/2014"</f>
        <v>738/2014</v>
      </c>
      <c r="B2145" s="1" t="s">
        <v>14</v>
      </c>
      <c r="C2145" s="1" t="s">
        <v>974</v>
      </c>
      <c r="D2145" s="1" t="str">
        <f t="shared" si="17"/>
        <v>Z-2014-10</v>
      </c>
      <c r="E2145" s="1" t="s">
        <v>40</v>
      </c>
      <c r="F2145" s="1" t="s">
        <v>503</v>
      </c>
      <c r="G2145" s="1" t="str">
        <f t="shared" si="18"/>
        <v>20.10.2014.
do zaključenja Ugovora za 2015. godinu</v>
      </c>
      <c r="H2145" s="1" t="str">
        <f>CONCATENATE("MAMIĆ PERIĆ REBERSKI RIMAC ODVJETNIČKO DRUŠTVO D.O.O., ZAGREB")</f>
        <v>MAMIĆ PERIĆ REBERSKI RIMAC ODVJETNIČKO DRUŠTVO D.O.O., ZAGREB</v>
      </c>
      <c r="I2145" s="2"/>
      <c r="J2145" s="1"/>
      <c r="K2145" s="1" t="s">
        <v>607</v>
      </c>
    </row>
    <row r="2146" spans="1:11" ht="63" x14ac:dyDescent="0.25">
      <c r="A2146" s="1" t="str">
        <f>"739/2014"</f>
        <v>739/2014</v>
      </c>
      <c r="B2146" s="1" t="s">
        <v>14</v>
      </c>
      <c r="C2146" s="1" t="s">
        <v>974</v>
      </c>
      <c r="D2146" s="1" t="str">
        <f t="shared" si="17"/>
        <v>Z-2014-10</v>
      </c>
      <c r="E2146" s="1" t="s">
        <v>40</v>
      </c>
      <c r="F2146" s="1" t="s">
        <v>503</v>
      </c>
      <c r="G2146" s="1" t="str">
        <f t="shared" si="18"/>
        <v>20.10.2014.
do zaključenja Ugovora za 2015. godinu</v>
      </c>
      <c r="H2146" s="1" t="str">
        <f>CONCATENATE("POSAVEC, RAŠICA &amp; LISZT ODVJETNIČKO DRUŠTVO D.O.O., ZAGREB")</f>
        <v>POSAVEC, RAŠICA &amp; LISZT ODVJETNIČKO DRUŠTVO D.O.O., ZAGREB</v>
      </c>
      <c r="I2146" s="2"/>
      <c r="J2146" s="1"/>
      <c r="K2146" s="1" t="s">
        <v>607</v>
      </c>
    </row>
    <row r="2147" spans="1:11" ht="63" x14ac:dyDescent="0.25">
      <c r="A2147" s="1" t="str">
        <f>"740/2014"</f>
        <v>740/2014</v>
      </c>
      <c r="B2147" s="1" t="s">
        <v>14</v>
      </c>
      <c r="C2147" s="1" t="s">
        <v>974</v>
      </c>
      <c r="D2147" s="1" t="str">
        <f t="shared" si="17"/>
        <v>Z-2014-10</v>
      </c>
      <c r="E2147" s="1" t="s">
        <v>40</v>
      </c>
      <c r="F2147" s="1" t="s">
        <v>503</v>
      </c>
      <c r="G2147" s="1" t="str">
        <f t="shared" si="18"/>
        <v>20.10.2014.
do zaključenja Ugovora za 2015. godinu</v>
      </c>
      <c r="H2147" s="1" t="str">
        <f>CONCATENATE("ODVJETNIČKO DRUŠTVO MIHOČEVIĆ&amp;BAJS D.O.O., ZAGREB")</f>
        <v>ODVJETNIČKO DRUŠTVO MIHOČEVIĆ&amp;BAJS D.O.O., ZAGREB</v>
      </c>
      <c r="I2147" s="2"/>
      <c r="J2147" s="1"/>
      <c r="K2147" s="1" t="s">
        <v>607</v>
      </c>
    </row>
    <row r="2148" spans="1:11" ht="63" x14ac:dyDescent="0.25">
      <c r="A2148" s="1" t="str">
        <f>"741/2014"</f>
        <v>741/2014</v>
      </c>
      <c r="B2148" s="1" t="s">
        <v>14</v>
      </c>
      <c r="C2148" s="1" t="s">
        <v>974</v>
      </c>
      <c r="D2148" s="1" t="str">
        <f t="shared" si="17"/>
        <v>Z-2014-10</v>
      </c>
      <c r="E2148" s="1" t="s">
        <v>40</v>
      </c>
      <c r="F2148" s="1" t="s">
        <v>503</v>
      </c>
      <c r="G2148" s="1" t="str">
        <f t="shared" si="18"/>
        <v>20.10.2014.
do zaključenja Ugovora za 2015. godinu</v>
      </c>
      <c r="H2148" s="1" t="str">
        <f>CONCATENATE("ODVJETNIČKO DRUŠTVO SMOLČIĆ I PARTNERI D.O.O., ZAGREB")</f>
        <v>ODVJETNIČKO DRUŠTVO SMOLČIĆ I PARTNERI D.O.O., ZAGREB</v>
      </c>
      <c r="I2148" s="2"/>
      <c r="J2148" s="1"/>
      <c r="K2148" s="1" t="s">
        <v>607</v>
      </c>
    </row>
    <row r="2149" spans="1:11" ht="63" x14ac:dyDescent="0.25">
      <c r="A2149" s="1" t="str">
        <f>"742/2014"</f>
        <v>742/2014</v>
      </c>
      <c r="B2149" s="1" t="s">
        <v>14</v>
      </c>
      <c r="C2149" s="1" t="s">
        <v>974</v>
      </c>
      <c r="D2149" s="1" t="str">
        <f t="shared" si="17"/>
        <v>Z-2014-10</v>
      </c>
      <c r="E2149" s="1" t="s">
        <v>40</v>
      </c>
      <c r="F2149" s="1" t="s">
        <v>503</v>
      </c>
      <c r="G2149" s="1" t="str">
        <f t="shared" si="18"/>
        <v>20.10.2014.
do zaključenja Ugovora za 2015. godinu</v>
      </c>
      <c r="H2149" s="1" t="str">
        <f>CONCATENATE("ODVJETNIČKO DRUŠTVO ŠUNIĆ I PARTNERI J. T. D., ZAGREB")</f>
        <v>ODVJETNIČKO DRUŠTVO ŠUNIĆ I PARTNERI J. T. D., ZAGREB</v>
      </c>
      <c r="I2149" s="2"/>
      <c r="J2149" s="1"/>
      <c r="K2149" s="1" t="s">
        <v>607</v>
      </c>
    </row>
    <row r="2150" spans="1:11" ht="63" x14ac:dyDescent="0.25">
      <c r="A2150" s="1" t="str">
        <f>"743/2014"</f>
        <v>743/2014</v>
      </c>
      <c r="B2150" s="1" t="s">
        <v>14</v>
      </c>
      <c r="C2150" s="1" t="s">
        <v>974</v>
      </c>
      <c r="D2150" s="1" t="str">
        <f t="shared" si="17"/>
        <v>Z-2014-10</v>
      </c>
      <c r="E2150" s="1" t="s">
        <v>40</v>
      </c>
      <c r="F2150" s="1" t="s">
        <v>503</v>
      </c>
      <c r="G2150" s="1" t="str">
        <f t="shared" si="18"/>
        <v>20.10.2014.
do zaključenja Ugovora za 2015. godinu</v>
      </c>
      <c r="H2150" s="1" t="str">
        <f>CONCATENATE("MARIJA GRBAVAC, ODVJETNICA, ZAGREB")</f>
        <v>MARIJA GRBAVAC, ODVJETNICA, ZAGREB</v>
      </c>
      <c r="I2150" s="2"/>
      <c r="J2150" s="1"/>
      <c r="K2150" s="1" t="s">
        <v>607</v>
      </c>
    </row>
    <row r="2151" spans="1:11" ht="63" x14ac:dyDescent="0.25">
      <c r="A2151" s="1" t="str">
        <f>"744/2014"</f>
        <v>744/2014</v>
      </c>
      <c r="B2151" s="1" t="s">
        <v>14</v>
      </c>
      <c r="C2151" s="1" t="s">
        <v>974</v>
      </c>
      <c r="D2151" s="1" t="str">
        <f t="shared" si="17"/>
        <v>Z-2014-10</v>
      </c>
      <c r="E2151" s="1" t="s">
        <v>40</v>
      </c>
      <c r="F2151" s="1" t="s">
        <v>503</v>
      </c>
      <c r="G2151" s="1" t="str">
        <f t="shared" si="18"/>
        <v>20.10.2014.
do zaključenja Ugovora za 2015. godinu</v>
      </c>
      <c r="H2151" s="1" t="str">
        <f>CONCATENATE("SONJA KOSTIĆ, ODVJETNICA, ZAGREB")</f>
        <v>SONJA KOSTIĆ, ODVJETNICA, ZAGREB</v>
      </c>
      <c r="I2151" s="2"/>
      <c r="J2151" s="1"/>
      <c r="K2151" s="1" t="s">
        <v>607</v>
      </c>
    </row>
    <row r="2152" spans="1:11" ht="63" x14ac:dyDescent="0.25">
      <c r="A2152" s="1" t="str">
        <f>"745/2014"</f>
        <v>745/2014</v>
      </c>
      <c r="B2152" s="1" t="s">
        <v>14</v>
      </c>
      <c r="C2152" s="1" t="s">
        <v>974</v>
      </c>
      <c r="D2152" s="1" t="str">
        <f t="shared" si="17"/>
        <v>Z-2014-10</v>
      </c>
      <c r="E2152" s="1" t="s">
        <v>40</v>
      </c>
      <c r="F2152" s="1" t="s">
        <v>503</v>
      </c>
      <c r="G2152" s="1" t="str">
        <f t="shared" si="18"/>
        <v>20.10.2014.
do zaključenja Ugovora za 2015. godinu</v>
      </c>
      <c r="H2152" s="1" t="str">
        <f>CONCATENATE("KELEMEN BORIS, ZAGREB")</f>
        <v>KELEMEN BORIS, ZAGREB</v>
      </c>
      <c r="I2152" s="2"/>
      <c r="J2152" s="1"/>
      <c r="K2152" s="1" t="s">
        <v>607</v>
      </c>
    </row>
    <row r="2153" spans="1:11" ht="63" x14ac:dyDescent="0.25">
      <c r="A2153" s="1" t="str">
        <f>"746/2014"</f>
        <v>746/2014</v>
      </c>
      <c r="B2153" s="1" t="s">
        <v>14</v>
      </c>
      <c r="C2153" s="1" t="s">
        <v>974</v>
      </c>
      <c r="D2153" s="1" t="str">
        <f t="shared" si="17"/>
        <v>Z-2014-10</v>
      </c>
      <c r="E2153" s="1" t="s">
        <v>40</v>
      </c>
      <c r="F2153" s="1" t="s">
        <v>503</v>
      </c>
      <c r="G2153" s="1" t="str">
        <f t="shared" si="18"/>
        <v>20.10.2014.
do zaključenja Ugovora za 2015. godinu</v>
      </c>
      <c r="H2153" s="1" t="str">
        <f>CONCATENATE("DERVIŠBEGOVIĆ ALMIR, ODVJETNIK, ZAGREB")</f>
        <v>DERVIŠBEGOVIĆ ALMIR, ODVJETNIK, ZAGREB</v>
      </c>
      <c r="I2153" s="2"/>
      <c r="J2153" s="1"/>
      <c r="K2153" s="1" t="s">
        <v>607</v>
      </c>
    </row>
    <row r="2154" spans="1:11" ht="63" x14ac:dyDescent="0.25">
      <c r="A2154" s="1" t="str">
        <f>"747/2014"</f>
        <v>747/2014</v>
      </c>
      <c r="B2154" s="1" t="s">
        <v>14</v>
      </c>
      <c r="C2154" s="1" t="s">
        <v>974</v>
      </c>
      <c r="D2154" s="1" t="str">
        <f t="shared" si="17"/>
        <v>Z-2014-10</v>
      </c>
      <c r="E2154" s="1" t="s">
        <v>40</v>
      </c>
      <c r="F2154" s="1" t="s">
        <v>503</v>
      </c>
      <c r="G2154" s="1" t="str">
        <f t="shared" si="18"/>
        <v>20.10.2014.
do zaključenja Ugovora za 2015. godinu</v>
      </c>
      <c r="H2154" s="1" t="str">
        <f>CONCATENATE("ILIĆ, OREHOVEC &amp; PARTNERI, ODVJETNIČKO DRUŠTVO, ZAGREB")</f>
        <v>ILIĆ, OREHOVEC &amp; PARTNERI, ODVJETNIČKO DRUŠTVO, ZAGREB</v>
      </c>
      <c r="I2154" s="2"/>
      <c r="J2154" s="1"/>
      <c r="K2154" s="1" t="s">
        <v>607</v>
      </c>
    </row>
    <row r="2155" spans="1:11" ht="63" x14ac:dyDescent="0.25">
      <c r="A2155" s="1" t="str">
        <f>"748/2014"</f>
        <v>748/2014</v>
      </c>
      <c r="B2155" s="1" t="s">
        <v>14</v>
      </c>
      <c r="C2155" s="1" t="s">
        <v>974</v>
      </c>
      <c r="D2155" s="1" t="str">
        <f t="shared" si="17"/>
        <v>Z-2014-10</v>
      </c>
      <c r="E2155" s="1" t="s">
        <v>40</v>
      </c>
      <c r="F2155" s="1" t="s">
        <v>503</v>
      </c>
      <c r="G2155" s="1" t="str">
        <f t="shared" si="18"/>
        <v>20.10.2014.
do zaključenja Ugovora za 2015. godinu</v>
      </c>
      <c r="H2155" s="1" t="str">
        <f>CONCATENATE("KNEZOVIĆ VINKO, ODVJETNIK, ZAGREB")</f>
        <v>KNEZOVIĆ VINKO, ODVJETNIK, ZAGREB</v>
      </c>
      <c r="I2155" s="2"/>
      <c r="J2155" s="1"/>
      <c r="K2155" s="1" t="s">
        <v>607</v>
      </c>
    </row>
    <row r="2156" spans="1:11" ht="63" x14ac:dyDescent="0.25">
      <c r="A2156" s="1" t="str">
        <f>"749/2014"</f>
        <v>749/2014</v>
      </c>
      <c r="B2156" s="1" t="s">
        <v>14</v>
      </c>
      <c r="C2156" s="1" t="s">
        <v>974</v>
      </c>
      <c r="D2156" s="1" t="str">
        <f t="shared" si="17"/>
        <v>Z-2014-10</v>
      </c>
      <c r="E2156" s="1" t="s">
        <v>40</v>
      </c>
      <c r="F2156" s="1" t="s">
        <v>503</v>
      </c>
      <c r="G2156" s="1" t="str">
        <f t="shared" si="18"/>
        <v>20.10.2014.
do zaključenja Ugovora za 2015. godinu</v>
      </c>
      <c r="H2156" s="1" t="str">
        <f>CONCATENATE("ODVJETNIČKO DRUŠTVO BUDIN-PENIĆ-SKERLEV J.T.D., ZAGREB")</f>
        <v>ODVJETNIČKO DRUŠTVO BUDIN-PENIĆ-SKERLEV J.T.D., ZAGREB</v>
      </c>
      <c r="I2156" s="2"/>
      <c r="J2156" s="1"/>
      <c r="K2156" s="1" t="s">
        <v>607</v>
      </c>
    </row>
    <row r="2157" spans="1:11" ht="63" x14ac:dyDescent="0.25">
      <c r="A2157" s="1" t="str">
        <f>"750/2014"</f>
        <v>750/2014</v>
      </c>
      <c r="B2157" s="1" t="s">
        <v>14</v>
      </c>
      <c r="C2157" s="1" t="s">
        <v>974</v>
      </c>
      <c r="D2157" s="1" t="str">
        <f t="shared" si="17"/>
        <v>Z-2014-10</v>
      </c>
      <c r="E2157" s="1" t="s">
        <v>40</v>
      </c>
      <c r="F2157" s="1" t="s">
        <v>503</v>
      </c>
      <c r="G2157" s="1" t="str">
        <f t="shared" si="18"/>
        <v>20.10.2014.
do zaključenja Ugovora za 2015. godinu</v>
      </c>
      <c r="H2157" s="1" t="str">
        <f>CONCATENATE("MR.SC. DAVORIN CMREČKI, ODVJETNIK, ZAGREB")</f>
        <v>MR.SC. DAVORIN CMREČKI, ODVJETNIK, ZAGREB</v>
      </c>
      <c r="I2157" s="2"/>
      <c r="J2157" s="1"/>
      <c r="K2157" s="1" t="s">
        <v>607</v>
      </c>
    </row>
    <row r="2158" spans="1:11" ht="63" x14ac:dyDescent="0.25">
      <c r="A2158" s="1" t="str">
        <f>"751/2014"</f>
        <v>751/2014</v>
      </c>
      <c r="B2158" s="1" t="s">
        <v>14</v>
      </c>
      <c r="C2158" s="1" t="s">
        <v>974</v>
      </c>
      <c r="D2158" s="1" t="str">
        <f t="shared" si="17"/>
        <v>Z-2014-10</v>
      </c>
      <c r="E2158" s="1" t="s">
        <v>40</v>
      </c>
      <c r="F2158" s="1" t="s">
        <v>503</v>
      </c>
      <c r="G2158" s="1" t="str">
        <f t="shared" si="18"/>
        <v>20.10.2014.
do zaključenja Ugovora za 2015. godinu</v>
      </c>
      <c r="H2158" s="1" t="str">
        <f>CONCATENATE("TONČIĆ JURICA, ODVJETNIK, ZAGREB")</f>
        <v>TONČIĆ JURICA, ODVJETNIK, ZAGREB</v>
      </c>
      <c r="I2158" s="2"/>
      <c r="J2158" s="1"/>
      <c r="K2158" s="1" t="s">
        <v>607</v>
      </c>
    </row>
    <row r="2159" spans="1:11" ht="63" x14ac:dyDescent="0.25">
      <c r="A2159" s="1" t="str">
        <f>"752/2014"</f>
        <v>752/2014</v>
      </c>
      <c r="B2159" s="1" t="s">
        <v>14</v>
      </c>
      <c r="C2159" s="1" t="s">
        <v>974</v>
      </c>
      <c r="D2159" s="1" t="str">
        <f t="shared" si="17"/>
        <v>Z-2014-10</v>
      </c>
      <c r="E2159" s="1" t="s">
        <v>40</v>
      </c>
      <c r="F2159" s="1" t="s">
        <v>503</v>
      </c>
      <c r="G2159" s="1" t="str">
        <f t="shared" si="18"/>
        <v>20.10.2014.
do zaključenja Ugovora za 2015. godinu</v>
      </c>
      <c r="H2159" s="1" t="str">
        <f>CONCATENATE("ODVJETNIČKO DRUŠTVO DRAKULIĆ I PARTNERI J.T.D., ZAGREB")</f>
        <v>ODVJETNIČKO DRUŠTVO DRAKULIĆ I PARTNERI J.T.D., ZAGREB</v>
      </c>
      <c r="I2159" s="2"/>
      <c r="J2159" s="1"/>
      <c r="K2159" s="1" t="s">
        <v>607</v>
      </c>
    </row>
    <row r="2160" spans="1:11" ht="63" x14ac:dyDescent="0.25">
      <c r="A2160" s="1" t="str">
        <f>"753/2014"</f>
        <v>753/2014</v>
      </c>
      <c r="B2160" s="1" t="s">
        <v>14</v>
      </c>
      <c r="C2160" s="1" t="s">
        <v>974</v>
      </c>
      <c r="D2160" s="1" t="str">
        <f t="shared" si="17"/>
        <v>Z-2014-10</v>
      </c>
      <c r="E2160" s="1" t="s">
        <v>40</v>
      </c>
      <c r="F2160" s="1" t="s">
        <v>503</v>
      </c>
      <c r="G2160" s="1" t="str">
        <f t="shared" si="18"/>
        <v>20.10.2014.
do zaključenja Ugovora za 2015. godinu</v>
      </c>
      <c r="H2160" s="1" t="str">
        <f>CONCATENATE("ODVJETNIK TOMISLAV ČAVIĆ, ZAGREB")</f>
        <v>ODVJETNIK TOMISLAV ČAVIĆ, ZAGREB</v>
      </c>
      <c r="I2160" s="2"/>
      <c r="J2160" s="1"/>
      <c r="K2160" s="1" t="s">
        <v>607</v>
      </c>
    </row>
    <row r="2161" spans="1:11" ht="63" x14ac:dyDescent="0.25">
      <c r="A2161" s="1" t="str">
        <f>"754/2014"</f>
        <v>754/2014</v>
      </c>
      <c r="B2161" s="1" t="s">
        <v>14</v>
      </c>
      <c r="C2161" s="1" t="s">
        <v>974</v>
      </c>
      <c r="D2161" s="1" t="str">
        <f t="shared" si="17"/>
        <v>Z-2014-10</v>
      </c>
      <c r="E2161" s="1" t="s">
        <v>40</v>
      </c>
      <c r="F2161" s="1" t="s">
        <v>503</v>
      </c>
      <c r="G2161" s="1" t="str">
        <f t="shared" si="18"/>
        <v>20.10.2014.
do zaključenja Ugovora za 2015. godinu</v>
      </c>
      <c r="H2161" s="1" t="str">
        <f>CONCATENATE("CRNKOVIĆ DRAŽAN, ODVJETNIK, ZAGREB")</f>
        <v>CRNKOVIĆ DRAŽAN, ODVJETNIK, ZAGREB</v>
      </c>
      <c r="I2161" s="2"/>
      <c r="J2161" s="1"/>
      <c r="K2161" s="1" t="s">
        <v>607</v>
      </c>
    </row>
    <row r="2162" spans="1:11" ht="63" x14ac:dyDescent="0.25">
      <c r="A2162" s="1" t="str">
        <f>"755/2014"</f>
        <v>755/2014</v>
      </c>
      <c r="B2162" s="1" t="s">
        <v>14</v>
      </c>
      <c r="C2162" s="1" t="s">
        <v>974</v>
      </c>
      <c r="D2162" s="1" t="str">
        <f t="shared" si="17"/>
        <v>Z-2014-10</v>
      </c>
      <c r="E2162" s="1" t="s">
        <v>40</v>
      </c>
      <c r="F2162" s="1" t="s">
        <v>503</v>
      </c>
      <c r="G2162" s="1" t="str">
        <f t="shared" si="18"/>
        <v>20.10.2014.
do zaključenja Ugovora za 2015. godinu</v>
      </c>
      <c r="H2162" s="1" t="str">
        <f>CONCATENATE("IVAN ČOVIĆ, ODVJETNIK, ZAGREB")</f>
        <v>IVAN ČOVIĆ, ODVJETNIK, ZAGREB</v>
      </c>
      <c r="I2162" s="2"/>
      <c r="J2162" s="1"/>
      <c r="K2162" s="1" t="s">
        <v>607</v>
      </c>
    </row>
    <row r="2163" spans="1:11" ht="63" x14ac:dyDescent="0.25">
      <c r="A2163" s="1" t="str">
        <f>"756/2014"</f>
        <v>756/2014</v>
      </c>
      <c r="B2163" s="1" t="s">
        <v>14</v>
      </c>
      <c r="C2163" s="1" t="s">
        <v>974</v>
      </c>
      <c r="D2163" s="1" t="str">
        <f t="shared" si="17"/>
        <v>Z-2014-10</v>
      </c>
      <c r="E2163" s="1" t="s">
        <v>40</v>
      </c>
      <c r="F2163" s="1" t="s">
        <v>503</v>
      </c>
      <c r="G2163" s="1" t="str">
        <f t="shared" si="18"/>
        <v>20.10.2014.
do zaključenja Ugovora za 2015. godinu</v>
      </c>
      <c r="H2163" s="1" t="str">
        <f>CONCATENATE("ODVJETNIČKO DRUŠTVO SARDELIĆ &amp; PARTNERI D.O.O., ZAGREB")</f>
        <v>ODVJETNIČKO DRUŠTVO SARDELIĆ &amp; PARTNERI D.O.O., ZAGREB</v>
      </c>
      <c r="I2163" s="2"/>
      <c r="J2163" s="1"/>
      <c r="K2163" s="1" t="s">
        <v>607</v>
      </c>
    </row>
    <row r="2164" spans="1:11" ht="63" x14ac:dyDescent="0.25">
      <c r="A2164" s="1" t="str">
        <f>"757/2014"</f>
        <v>757/2014</v>
      </c>
      <c r="B2164" s="1" t="s">
        <v>14</v>
      </c>
      <c r="C2164" s="1" t="s">
        <v>974</v>
      </c>
      <c r="D2164" s="1" t="str">
        <f t="shared" si="17"/>
        <v>Z-2014-10</v>
      </c>
      <c r="E2164" s="1" t="s">
        <v>40</v>
      </c>
      <c r="F2164" s="1" t="s">
        <v>503</v>
      </c>
      <c r="G2164" s="1" t="str">
        <f t="shared" si="18"/>
        <v>20.10.2014.
do zaključenja Ugovora za 2015. godinu</v>
      </c>
      <c r="H2164" s="1" t="str">
        <f>CONCATENATE("IRENA GLOGOVŠEK, ODVJETNICA, ZAGREB")</f>
        <v>IRENA GLOGOVŠEK, ODVJETNICA, ZAGREB</v>
      </c>
      <c r="I2164" s="2"/>
      <c r="J2164" s="1"/>
      <c r="K2164" s="1" t="s">
        <v>607</v>
      </c>
    </row>
    <row r="2165" spans="1:11" ht="63" x14ac:dyDescent="0.25">
      <c r="A2165" s="1" t="str">
        <f>"758/2014"</f>
        <v>758/2014</v>
      </c>
      <c r="B2165" s="1" t="s">
        <v>14</v>
      </c>
      <c r="C2165" s="1" t="s">
        <v>974</v>
      </c>
      <c r="D2165" s="1" t="str">
        <f t="shared" si="17"/>
        <v>Z-2014-10</v>
      </c>
      <c r="E2165" s="1" t="s">
        <v>40</v>
      </c>
      <c r="F2165" s="1" t="s">
        <v>503</v>
      </c>
      <c r="G2165" s="1" t="str">
        <f t="shared" si="18"/>
        <v>20.10.2014.
do zaključenja Ugovora za 2015. godinu</v>
      </c>
      <c r="H2165" s="1" t="str">
        <f>CONCATENATE("VRAN JICAN DESANKA, ODVJETNICA, ZAGREB")</f>
        <v>VRAN JICAN DESANKA, ODVJETNICA, ZAGREB</v>
      </c>
      <c r="I2165" s="2"/>
      <c r="J2165" s="1"/>
      <c r="K2165" s="1" t="s">
        <v>607</v>
      </c>
    </row>
    <row r="2166" spans="1:11" ht="63" x14ac:dyDescent="0.25">
      <c r="A2166" s="1" t="str">
        <f>"759/2014"</f>
        <v>759/2014</v>
      </c>
      <c r="B2166" s="1" t="s">
        <v>14</v>
      </c>
      <c r="C2166" s="1" t="s">
        <v>974</v>
      </c>
      <c r="D2166" s="1" t="str">
        <f t="shared" si="17"/>
        <v>Z-2014-10</v>
      </c>
      <c r="E2166" s="1" t="s">
        <v>40</v>
      </c>
      <c r="F2166" s="1" t="s">
        <v>503</v>
      </c>
      <c r="G2166" s="1" t="str">
        <f t="shared" si="18"/>
        <v>20.10.2014.
do zaključenja Ugovora za 2015. godinu</v>
      </c>
      <c r="H2166" s="1" t="str">
        <f>CONCATENATE("ODVJETNIČKO DRUŠTVO LEKO I PARTNERI D.O.O., ZAGREB")</f>
        <v>ODVJETNIČKO DRUŠTVO LEKO I PARTNERI D.O.O., ZAGREB</v>
      </c>
      <c r="I2166" s="2"/>
      <c r="J2166" s="1"/>
      <c r="K2166" s="1" t="s">
        <v>607</v>
      </c>
    </row>
    <row r="2167" spans="1:11" ht="63" x14ac:dyDescent="0.25">
      <c r="A2167" s="1" t="str">
        <f>"760/2014"</f>
        <v>760/2014</v>
      </c>
      <c r="B2167" s="1" t="s">
        <v>14</v>
      </c>
      <c r="C2167" s="1" t="s">
        <v>974</v>
      </c>
      <c r="D2167" s="1" t="str">
        <f t="shared" si="17"/>
        <v>Z-2014-10</v>
      </c>
      <c r="E2167" s="1" t="s">
        <v>40</v>
      </c>
      <c r="F2167" s="1" t="s">
        <v>503</v>
      </c>
      <c r="G2167" s="1" t="str">
        <f t="shared" si="18"/>
        <v>20.10.2014.
do zaključenja Ugovora za 2015. godinu</v>
      </c>
      <c r="H2167" s="1" t="str">
        <f>CONCATENATE("ODVJETNIČKO DRUŠTVO MATIĆ I FELDMAN D.O.O., ZAGREB")</f>
        <v>ODVJETNIČKO DRUŠTVO MATIĆ I FELDMAN D.O.O., ZAGREB</v>
      </c>
      <c r="I2167" s="2"/>
      <c r="J2167" s="1"/>
      <c r="K2167" s="1" t="s">
        <v>607</v>
      </c>
    </row>
    <row r="2168" spans="1:11" ht="63" x14ac:dyDescent="0.25">
      <c r="A2168" s="1" t="str">
        <f>"761/2014"</f>
        <v>761/2014</v>
      </c>
      <c r="B2168" s="1" t="s">
        <v>14</v>
      </c>
      <c r="C2168" s="1" t="s">
        <v>974</v>
      </c>
      <c r="D2168" s="1" t="str">
        <f t="shared" si="17"/>
        <v>Z-2014-10</v>
      </c>
      <c r="E2168" s="1" t="s">
        <v>40</v>
      </c>
      <c r="F2168" s="1" t="s">
        <v>503</v>
      </c>
      <c r="G2168" s="1" t="str">
        <f t="shared" si="18"/>
        <v>20.10.2014.
do zaključenja Ugovora za 2015. godinu</v>
      </c>
      <c r="H2168" s="1" t="str">
        <f>CONCATENATE("ODVJETNIČKO DRUŠTVO MAĐARIĆ &amp; LUI D.O.O., ZAGREB")</f>
        <v>ODVJETNIČKO DRUŠTVO MAĐARIĆ &amp; LUI D.O.O., ZAGREB</v>
      </c>
      <c r="I2168" s="2"/>
      <c r="J2168" s="1"/>
      <c r="K2168" s="1" t="s">
        <v>607</v>
      </c>
    </row>
    <row r="2169" spans="1:11" ht="63" x14ac:dyDescent="0.25">
      <c r="A2169" s="1" t="str">
        <f>"762/2014"</f>
        <v>762/2014</v>
      </c>
      <c r="B2169" s="1" t="s">
        <v>14</v>
      </c>
      <c r="C2169" s="1" t="s">
        <v>974</v>
      </c>
      <c r="D2169" s="1" t="str">
        <f t="shared" si="17"/>
        <v>Z-2014-10</v>
      </c>
      <c r="E2169" s="1" t="s">
        <v>40</v>
      </c>
      <c r="F2169" s="1" t="s">
        <v>503</v>
      </c>
      <c r="G2169" s="1" t="str">
        <f t="shared" si="18"/>
        <v>20.10.2014.
do zaključenja Ugovora za 2015. godinu</v>
      </c>
      <c r="H2169" s="1" t="str">
        <f>CONCATENATE("GAJSKI, GRLIĆ,PRKA,SAUCHA I PARTNERI, ZAGREB")</f>
        <v>GAJSKI, GRLIĆ,PRKA,SAUCHA I PARTNERI, ZAGREB</v>
      </c>
      <c r="I2169" s="2"/>
      <c r="J2169" s="1"/>
      <c r="K2169" s="1" t="s">
        <v>607</v>
      </c>
    </row>
    <row r="2170" spans="1:11" ht="63" x14ac:dyDescent="0.25">
      <c r="A2170" s="1" t="str">
        <f>"763/2014"</f>
        <v>763/2014</v>
      </c>
      <c r="B2170" s="1" t="s">
        <v>14</v>
      </c>
      <c r="C2170" s="1" t="s">
        <v>974</v>
      </c>
      <c r="D2170" s="1" t="str">
        <f t="shared" si="17"/>
        <v>Z-2014-10</v>
      </c>
      <c r="E2170" s="1" t="s">
        <v>40</v>
      </c>
      <c r="F2170" s="1" t="s">
        <v>503</v>
      </c>
      <c r="G2170" s="1" t="str">
        <f t="shared" si="18"/>
        <v>20.10.2014.
do zaključenja Ugovora za 2015. godinu</v>
      </c>
      <c r="H2170" s="1" t="str">
        <f>CONCATENATE("ODVJETNIČKI URED MATE MATIĆ, NIKOLA MANDIĆ I IVAN STANIĆ, ZAGREB")</f>
        <v>ODVJETNIČKI URED MATE MATIĆ, NIKOLA MANDIĆ I IVAN STANIĆ, ZAGREB</v>
      </c>
      <c r="I2170" s="2"/>
      <c r="J2170" s="1"/>
      <c r="K2170" s="1" t="s">
        <v>607</v>
      </c>
    </row>
    <row r="2171" spans="1:11" ht="63" x14ac:dyDescent="0.25">
      <c r="A2171" s="1" t="str">
        <f>"764/2014"</f>
        <v>764/2014</v>
      </c>
      <c r="B2171" s="1" t="s">
        <v>14</v>
      </c>
      <c r="C2171" s="1" t="s">
        <v>974</v>
      </c>
      <c r="D2171" s="1" t="str">
        <f t="shared" ref="D2171:D2190" si="19">"Z-2014-10"</f>
        <v>Z-2014-10</v>
      </c>
      <c r="E2171" s="1" t="s">
        <v>40</v>
      </c>
      <c r="F2171" s="1" t="s">
        <v>503</v>
      </c>
      <c r="G2171" s="1" t="str">
        <f t="shared" ref="G2171:G2190" si="20">CONCATENATE("20.10.2014.",CHAR(10),"do zaključenja Ugovora za 2015. godinu")</f>
        <v>20.10.2014.
do zaključenja Ugovora za 2015. godinu</v>
      </c>
      <c r="H2171" s="1" t="str">
        <f>CONCATENATE("LADAN HRVOJE, ODVJETNIK, ZAGREB")</f>
        <v>LADAN HRVOJE, ODVJETNIK, ZAGREB</v>
      </c>
      <c r="I2171" s="2"/>
      <c r="J2171" s="1"/>
      <c r="K2171" s="1" t="s">
        <v>607</v>
      </c>
    </row>
    <row r="2172" spans="1:11" ht="63" x14ac:dyDescent="0.25">
      <c r="A2172" s="1" t="str">
        <f>"765/2014"</f>
        <v>765/2014</v>
      </c>
      <c r="B2172" s="1" t="s">
        <v>14</v>
      </c>
      <c r="C2172" s="1" t="s">
        <v>974</v>
      </c>
      <c r="D2172" s="1" t="str">
        <f t="shared" si="19"/>
        <v>Z-2014-10</v>
      </c>
      <c r="E2172" s="1" t="s">
        <v>40</v>
      </c>
      <c r="F2172" s="1" t="s">
        <v>503</v>
      </c>
      <c r="G2172" s="1" t="str">
        <f t="shared" si="20"/>
        <v>20.10.2014.
do zaključenja Ugovora za 2015. godinu</v>
      </c>
      <c r="H2172" s="1" t="str">
        <f>CONCATENATE("ODVJETNIČKO DRUŠTVO GRUBEŠA I PARTNERI, ZAGREB")</f>
        <v>ODVJETNIČKO DRUŠTVO GRUBEŠA I PARTNERI, ZAGREB</v>
      </c>
      <c r="I2172" s="2"/>
      <c r="J2172" s="1"/>
      <c r="K2172" s="1" t="s">
        <v>607</v>
      </c>
    </row>
    <row r="2173" spans="1:11" ht="63" x14ac:dyDescent="0.25">
      <c r="A2173" s="1" t="str">
        <f>"766/2014"</f>
        <v>766/2014</v>
      </c>
      <c r="B2173" s="1" t="s">
        <v>14</v>
      </c>
      <c r="C2173" s="1" t="s">
        <v>974</v>
      </c>
      <c r="D2173" s="1" t="str">
        <f t="shared" si="19"/>
        <v>Z-2014-10</v>
      </c>
      <c r="E2173" s="1" t="s">
        <v>40</v>
      </c>
      <c r="F2173" s="1" t="s">
        <v>503</v>
      </c>
      <c r="G2173" s="1" t="str">
        <f t="shared" si="20"/>
        <v>20.10.2014.
do zaključenja Ugovora za 2015. godinu</v>
      </c>
      <c r="H2173" s="1" t="str">
        <f>CONCATENATE("ROSO ZORAN, ODVJETNIK, ZAGREB")</f>
        <v>ROSO ZORAN, ODVJETNIK, ZAGREB</v>
      </c>
      <c r="I2173" s="2"/>
      <c r="J2173" s="1"/>
      <c r="K2173" s="1" t="s">
        <v>607</v>
      </c>
    </row>
    <row r="2174" spans="1:11" ht="63" x14ac:dyDescent="0.25">
      <c r="A2174" s="1" t="str">
        <f>"767/2014"</f>
        <v>767/2014</v>
      </c>
      <c r="B2174" s="1" t="s">
        <v>14</v>
      </c>
      <c r="C2174" s="1" t="s">
        <v>974</v>
      </c>
      <c r="D2174" s="1" t="str">
        <f t="shared" si="19"/>
        <v>Z-2014-10</v>
      </c>
      <c r="E2174" s="1" t="s">
        <v>40</v>
      </c>
      <c r="F2174" s="1" t="s">
        <v>503</v>
      </c>
      <c r="G2174" s="1" t="str">
        <f t="shared" si="20"/>
        <v>20.10.2014.
do zaključenja Ugovora za 2015. godinu</v>
      </c>
      <c r="H2174" s="1" t="str">
        <f>CONCATENATE("MLINARIĆ RAJKO, ODVJETNIK, ZAGREB")</f>
        <v>MLINARIĆ RAJKO, ODVJETNIK, ZAGREB</v>
      </c>
      <c r="I2174" s="2"/>
      <c r="J2174" s="1"/>
      <c r="K2174" s="1" t="s">
        <v>607</v>
      </c>
    </row>
    <row r="2175" spans="1:11" ht="63" x14ac:dyDescent="0.25">
      <c r="A2175" s="1" t="str">
        <f>"768/2014"</f>
        <v>768/2014</v>
      </c>
      <c r="B2175" s="1" t="s">
        <v>14</v>
      </c>
      <c r="C2175" s="1" t="s">
        <v>974</v>
      </c>
      <c r="D2175" s="1" t="str">
        <f t="shared" si="19"/>
        <v>Z-2014-10</v>
      </c>
      <c r="E2175" s="1" t="s">
        <v>40</v>
      </c>
      <c r="F2175" s="1" t="s">
        <v>503</v>
      </c>
      <c r="G2175" s="1" t="str">
        <f t="shared" si="20"/>
        <v>20.10.2014.
do zaključenja Ugovora za 2015. godinu</v>
      </c>
      <c r="H2175" s="1" t="str">
        <f>CONCATENATE("ODVJETNIČKO DRUŠTVO KRAJINOVIĆ I PARTNERI, ZAGREB")</f>
        <v>ODVJETNIČKO DRUŠTVO KRAJINOVIĆ I PARTNERI, ZAGREB</v>
      </c>
      <c r="I2175" s="2"/>
      <c r="J2175" s="1"/>
      <c r="K2175" s="1" t="s">
        <v>607</v>
      </c>
    </row>
    <row r="2176" spans="1:11" ht="63" x14ac:dyDescent="0.25">
      <c r="A2176" s="1" t="str">
        <f>"769/2014"</f>
        <v>769/2014</v>
      </c>
      <c r="B2176" s="1" t="s">
        <v>14</v>
      </c>
      <c r="C2176" s="1" t="s">
        <v>974</v>
      </c>
      <c r="D2176" s="1" t="str">
        <f t="shared" si="19"/>
        <v>Z-2014-10</v>
      </c>
      <c r="E2176" s="1" t="s">
        <v>40</v>
      </c>
      <c r="F2176" s="1" t="s">
        <v>503</v>
      </c>
      <c r="G2176" s="1" t="str">
        <f t="shared" si="20"/>
        <v>20.10.2014.
do zaključenja Ugovora za 2015. godinu</v>
      </c>
      <c r="H2176" s="1" t="str">
        <f>CONCATENATE("ODVJETNIČKI URED ANTON SUČIĆ I MARTINA FEKETIĆ SUČIĆ, ZAGREB")</f>
        <v>ODVJETNIČKI URED ANTON SUČIĆ I MARTINA FEKETIĆ SUČIĆ, ZAGREB</v>
      </c>
      <c r="I2176" s="2"/>
      <c r="J2176" s="1"/>
      <c r="K2176" s="1" t="s">
        <v>607</v>
      </c>
    </row>
    <row r="2177" spans="1:11" ht="63" x14ac:dyDescent="0.25">
      <c r="A2177" s="1" t="str">
        <f>"770/2014"</f>
        <v>770/2014</v>
      </c>
      <c r="B2177" s="1" t="s">
        <v>14</v>
      </c>
      <c r="C2177" s="1" t="s">
        <v>974</v>
      </c>
      <c r="D2177" s="1" t="str">
        <f t="shared" si="19"/>
        <v>Z-2014-10</v>
      </c>
      <c r="E2177" s="1" t="s">
        <v>40</v>
      </c>
      <c r="F2177" s="1" t="s">
        <v>503</v>
      </c>
      <c r="G2177" s="1" t="str">
        <f t="shared" si="20"/>
        <v>20.10.2014.
do zaključenja Ugovora za 2015. godinu</v>
      </c>
      <c r="H2177" s="1" t="str">
        <f>CONCATENATE("CENIĆ MAJA, ODVJETNICA, ZAGREB")</f>
        <v>CENIĆ MAJA, ODVJETNICA, ZAGREB</v>
      </c>
      <c r="I2177" s="2"/>
      <c r="J2177" s="1"/>
      <c r="K2177" s="1" t="s">
        <v>607</v>
      </c>
    </row>
    <row r="2178" spans="1:11" ht="63" x14ac:dyDescent="0.25">
      <c r="A2178" s="1" t="str">
        <f>"771/2014"</f>
        <v>771/2014</v>
      </c>
      <c r="B2178" s="1" t="s">
        <v>14</v>
      </c>
      <c r="C2178" s="1" t="s">
        <v>974</v>
      </c>
      <c r="D2178" s="1" t="str">
        <f t="shared" si="19"/>
        <v>Z-2014-10</v>
      </c>
      <c r="E2178" s="1" t="s">
        <v>40</v>
      </c>
      <c r="F2178" s="1" t="s">
        <v>503</v>
      </c>
      <c r="G2178" s="1" t="str">
        <f t="shared" si="20"/>
        <v>20.10.2014.
do zaključenja Ugovora za 2015. godinu</v>
      </c>
      <c r="H2178" s="1" t="str">
        <f>CONCATENATE("PILIPOVIĆ ŽELJKA,, ODVJETNICA, ZAGREB")</f>
        <v>PILIPOVIĆ ŽELJKA,, ODVJETNICA, ZAGREB</v>
      </c>
      <c r="I2178" s="2"/>
      <c r="J2178" s="1"/>
      <c r="K2178" s="1" t="s">
        <v>607</v>
      </c>
    </row>
    <row r="2179" spans="1:11" ht="63" x14ac:dyDescent="0.25">
      <c r="A2179" s="1" t="str">
        <f>"772/2014"</f>
        <v>772/2014</v>
      </c>
      <c r="B2179" s="1" t="s">
        <v>14</v>
      </c>
      <c r="C2179" s="1" t="s">
        <v>974</v>
      </c>
      <c r="D2179" s="1" t="str">
        <f t="shared" si="19"/>
        <v>Z-2014-10</v>
      </c>
      <c r="E2179" s="1" t="s">
        <v>40</v>
      </c>
      <c r="F2179" s="1" t="s">
        <v>503</v>
      </c>
      <c r="G2179" s="1" t="str">
        <f t="shared" si="20"/>
        <v>20.10.2014.
do zaključenja Ugovora za 2015. godinu</v>
      </c>
      <c r="H2179" s="1" t="str">
        <f>CONCATENATE("PODLIPEC VEDRAN, ODVJETNIK, ZAGREB")</f>
        <v>PODLIPEC VEDRAN, ODVJETNIK, ZAGREB</v>
      </c>
      <c r="I2179" s="2"/>
      <c r="J2179" s="1"/>
      <c r="K2179" s="1" t="s">
        <v>607</v>
      </c>
    </row>
    <row r="2180" spans="1:11" ht="63" x14ac:dyDescent="0.25">
      <c r="A2180" s="1" t="str">
        <f>"773/2014"</f>
        <v>773/2014</v>
      </c>
      <c r="B2180" s="1" t="s">
        <v>14</v>
      </c>
      <c r="C2180" s="1" t="s">
        <v>974</v>
      </c>
      <c r="D2180" s="1" t="str">
        <f t="shared" si="19"/>
        <v>Z-2014-10</v>
      </c>
      <c r="E2180" s="1" t="s">
        <v>40</v>
      </c>
      <c r="F2180" s="1" t="s">
        <v>503</v>
      </c>
      <c r="G2180" s="1" t="str">
        <f t="shared" si="20"/>
        <v>20.10.2014.
do zaključenja Ugovora za 2015. godinu</v>
      </c>
      <c r="H2180" s="1" t="str">
        <f>CONCATENATE("RAMLJAK MARKO, ODVJETNIK, ZAGREB")</f>
        <v>RAMLJAK MARKO, ODVJETNIK, ZAGREB</v>
      </c>
      <c r="I2180" s="2"/>
      <c r="J2180" s="1"/>
      <c r="K2180" s="1" t="s">
        <v>607</v>
      </c>
    </row>
    <row r="2181" spans="1:11" ht="63" x14ac:dyDescent="0.25">
      <c r="A2181" s="1" t="str">
        <f>"774/2014"</f>
        <v>774/2014</v>
      </c>
      <c r="B2181" s="1" t="s">
        <v>14</v>
      </c>
      <c r="C2181" s="1" t="s">
        <v>974</v>
      </c>
      <c r="D2181" s="1" t="str">
        <f t="shared" si="19"/>
        <v>Z-2014-10</v>
      </c>
      <c r="E2181" s="1" t="s">
        <v>40</v>
      </c>
      <c r="F2181" s="1" t="s">
        <v>503</v>
      </c>
      <c r="G2181" s="1" t="str">
        <f t="shared" si="20"/>
        <v>20.10.2014.
do zaključenja Ugovora za 2015. godinu</v>
      </c>
      <c r="H2181" s="1" t="str">
        <f>CONCATENATE("RUBEŠA TIHOMIR, ODVJETNIK, ZAGREB")</f>
        <v>RUBEŠA TIHOMIR, ODVJETNIK, ZAGREB</v>
      </c>
      <c r="I2181" s="2"/>
      <c r="J2181" s="1"/>
      <c r="K2181" s="1" t="s">
        <v>607</v>
      </c>
    </row>
    <row r="2182" spans="1:11" ht="63" x14ac:dyDescent="0.25">
      <c r="A2182" s="1" t="str">
        <f>"775/2014"</f>
        <v>775/2014</v>
      </c>
      <c r="B2182" s="1" t="s">
        <v>14</v>
      </c>
      <c r="C2182" s="1" t="s">
        <v>974</v>
      </c>
      <c r="D2182" s="1" t="str">
        <f t="shared" si="19"/>
        <v>Z-2014-10</v>
      </c>
      <c r="E2182" s="1" t="s">
        <v>40</v>
      </c>
      <c r="F2182" s="1" t="s">
        <v>503</v>
      </c>
      <c r="G2182" s="1" t="str">
        <f t="shared" si="20"/>
        <v>20.10.2014.
do zaključenja Ugovora za 2015. godinu</v>
      </c>
      <c r="H2182" s="1" t="str">
        <f>CONCATENATE("SLOKOVIĆ JADRANKA, ODVJETNICA, ZAGREB")</f>
        <v>SLOKOVIĆ JADRANKA, ODVJETNICA, ZAGREB</v>
      </c>
      <c r="I2182" s="2"/>
      <c r="J2182" s="1"/>
      <c r="K2182" s="1" t="s">
        <v>607</v>
      </c>
    </row>
    <row r="2183" spans="1:11" ht="63" x14ac:dyDescent="0.25">
      <c r="A2183" s="1" t="str">
        <f>"776/2014"</f>
        <v>776/2014</v>
      </c>
      <c r="B2183" s="1" t="s">
        <v>14</v>
      </c>
      <c r="C2183" s="1" t="s">
        <v>974</v>
      </c>
      <c r="D2183" s="1" t="str">
        <f t="shared" si="19"/>
        <v>Z-2014-10</v>
      </c>
      <c r="E2183" s="1" t="s">
        <v>40</v>
      </c>
      <c r="F2183" s="1" t="s">
        <v>503</v>
      </c>
      <c r="G2183" s="1" t="str">
        <f t="shared" si="20"/>
        <v>20.10.2014.
do zaključenja Ugovora za 2015. godinu</v>
      </c>
      <c r="H2183" s="1" t="str">
        <f>CONCATENATE("ODVJETNIČKO DRUŠTVO SMOLEK &amp; ŠKRINJAR D.O.O., ZAGREB")</f>
        <v>ODVJETNIČKO DRUŠTVO SMOLEK &amp; ŠKRINJAR D.O.O., ZAGREB</v>
      </c>
      <c r="I2183" s="2"/>
      <c r="J2183" s="1"/>
      <c r="K2183" s="1" t="s">
        <v>607</v>
      </c>
    </row>
    <row r="2184" spans="1:11" ht="63" x14ac:dyDescent="0.25">
      <c r="A2184" s="1" t="str">
        <f>"777/2014"</f>
        <v>777/2014</v>
      </c>
      <c r="B2184" s="1" t="s">
        <v>14</v>
      </c>
      <c r="C2184" s="1" t="s">
        <v>974</v>
      </c>
      <c r="D2184" s="1" t="str">
        <f t="shared" si="19"/>
        <v>Z-2014-10</v>
      </c>
      <c r="E2184" s="1" t="s">
        <v>40</v>
      </c>
      <c r="F2184" s="1" t="s">
        <v>503</v>
      </c>
      <c r="G2184" s="1" t="str">
        <f t="shared" si="20"/>
        <v>20.10.2014.
do zaključenja Ugovora za 2015. godinu</v>
      </c>
      <c r="H2184" s="1" t="str">
        <f>CONCATENATE("DRAGIČEVIĆ ANTE, ODVJETNIK, ZAGREB")</f>
        <v>DRAGIČEVIĆ ANTE, ODVJETNIK, ZAGREB</v>
      </c>
      <c r="I2184" s="2"/>
      <c r="J2184" s="1"/>
      <c r="K2184" s="1" t="s">
        <v>607</v>
      </c>
    </row>
    <row r="2185" spans="1:11" ht="63" x14ac:dyDescent="0.25">
      <c r="A2185" s="1" t="str">
        <f>"778/2014"</f>
        <v>778/2014</v>
      </c>
      <c r="B2185" s="1" t="s">
        <v>14</v>
      </c>
      <c r="C2185" s="1" t="s">
        <v>974</v>
      </c>
      <c r="D2185" s="1" t="str">
        <f t="shared" si="19"/>
        <v>Z-2014-10</v>
      </c>
      <c r="E2185" s="1" t="s">
        <v>40</v>
      </c>
      <c r="F2185" s="1" t="s">
        <v>503</v>
      </c>
      <c r="G2185" s="1" t="str">
        <f t="shared" si="20"/>
        <v>20.10.2014.
do zaključenja Ugovora za 2015. godinu</v>
      </c>
      <c r="H2185" s="1" t="str">
        <f>CONCATENATE("KAPOR IVAN, ODVJETNIK, ZAGREB")</f>
        <v>KAPOR IVAN, ODVJETNIK, ZAGREB</v>
      </c>
      <c r="I2185" s="2"/>
      <c r="J2185" s="1"/>
      <c r="K2185" s="1" t="s">
        <v>607</v>
      </c>
    </row>
    <row r="2186" spans="1:11" ht="63" x14ac:dyDescent="0.25">
      <c r="A2186" s="1" t="str">
        <f>"779/2014"</f>
        <v>779/2014</v>
      </c>
      <c r="B2186" s="1" t="s">
        <v>14</v>
      </c>
      <c r="C2186" s="1" t="s">
        <v>974</v>
      </c>
      <c r="D2186" s="1" t="str">
        <f t="shared" si="19"/>
        <v>Z-2014-10</v>
      </c>
      <c r="E2186" s="1" t="s">
        <v>40</v>
      </c>
      <c r="F2186" s="1" t="s">
        <v>503</v>
      </c>
      <c r="G2186" s="1" t="str">
        <f t="shared" si="20"/>
        <v>20.10.2014.
do zaključenja Ugovora za 2015. godinu</v>
      </c>
      <c r="H2186" s="1" t="str">
        <f>CONCATENATE("MUMINAGIĆ EDIN, ODVJETNIK, ZAGREB")</f>
        <v>MUMINAGIĆ EDIN, ODVJETNIK, ZAGREB</v>
      </c>
      <c r="I2186" s="2"/>
      <c r="J2186" s="1"/>
      <c r="K2186" s="1" t="s">
        <v>607</v>
      </c>
    </row>
    <row r="2187" spans="1:11" ht="63" x14ac:dyDescent="0.25">
      <c r="A2187" s="1" t="str">
        <f>"780/2014"</f>
        <v>780/2014</v>
      </c>
      <c r="B2187" s="1" t="s">
        <v>14</v>
      </c>
      <c r="C2187" s="1" t="s">
        <v>974</v>
      </c>
      <c r="D2187" s="1" t="str">
        <f t="shared" si="19"/>
        <v>Z-2014-10</v>
      </c>
      <c r="E2187" s="1" t="s">
        <v>40</v>
      </c>
      <c r="F2187" s="1" t="s">
        <v>503</v>
      </c>
      <c r="G2187" s="1" t="str">
        <f t="shared" si="20"/>
        <v>20.10.2014.
do zaključenja Ugovora za 2015. godinu</v>
      </c>
      <c r="H2187" s="1" t="str">
        <f>CONCATENATE("ŽURIĆ I PARTNERI, ODVJETNIČKO DRUŠTVO D.O.O., ZAGREB")</f>
        <v>ŽURIĆ I PARTNERI, ODVJETNIČKO DRUŠTVO D.O.O., ZAGREB</v>
      </c>
      <c r="I2187" s="2"/>
      <c r="J2187" s="1"/>
      <c r="K2187" s="1" t="s">
        <v>607</v>
      </c>
    </row>
    <row r="2188" spans="1:11" ht="63" x14ac:dyDescent="0.25">
      <c r="A2188" s="1" t="str">
        <f>"781/2014"</f>
        <v>781/2014</v>
      </c>
      <c r="B2188" s="1" t="s">
        <v>14</v>
      </c>
      <c r="C2188" s="1" t="s">
        <v>971</v>
      </c>
      <c r="D2188" s="1" t="str">
        <f t="shared" si="19"/>
        <v>Z-2014-10</v>
      </c>
      <c r="E2188" s="1" t="s">
        <v>40</v>
      </c>
      <c r="F2188" s="1" t="s">
        <v>503</v>
      </c>
      <c r="G2188" s="1" t="str">
        <f t="shared" si="20"/>
        <v>20.10.2014.
do zaključenja Ugovora za 2015. godinu</v>
      </c>
      <c r="H2188" s="1" t="str">
        <f>CONCATENATE("ODVJETNIČKO DRUŠTVO GLAMUZINA &amp; GROŠETA D.O.O., ZAGREB")</f>
        <v>ODVJETNIČKO DRUŠTVO GLAMUZINA &amp; GROŠETA D.O.O., ZAGREB</v>
      </c>
      <c r="I2188" s="2"/>
      <c r="J2188" s="1"/>
      <c r="K2188" s="1" t="s">
        <v>607</v>
      </c>
    </row>
    <row r="2189" spans="1:11" ht="63" x14ac:dyDescent="0.25">
      <c r="A2189" s="1" t="str">
        <f>"782/2014"</f>
        <v>782/2014</v>
      </c>
      <c r="B2189" s="1" t="s">
        <v>14</v>
      </c>
      <c r="C2189" s="1" t="s">
        <v>971</v>
      </c>
      <c r="D2189" s="1" t="str">
        <f t="shared" si="19"/>
        <v>Z-2014-10</v>
      </c>
      <c r="E2189" s="1" t="s">
        <v>40</v>
      </c>
      <c r="F2189" s="1" t="s">
        <v>503</v>
      </c>
      <c r="G2189" s="1" t="str">
        <f t="shared" si="20"/>
        <v>20.10.2014.
do zaključenja Ugovora za 2015. godinu</v>
      </c>
      <c r="H2189" s="1" t="str">
        <f>CONCATENATE("RAMLJAK MARKO, ODVJETNIK, ZAGREB")</f>
        <v>RAMLJAK MARKO, ODVJETNIK, ZAGREB</v>
      </c>
      <c r="I2189" s="2"/>
      <c r="J2189" s="1"/>
      <c r="K2189" s="1" t="s">
        <v>607</v>
      </c>
    </row>
    <row r="2190" spans="1:11" ht="63" x14ac:dyDescent="0.25">
      <c r="A2190" s="1" t="str">
        <f>"783/2014"</f>
        <v>783/2014</v>
      </c>
      <c r="B2190" s="1" t="s">
        <v>14</v>
      </c>
      <c r="C2190" s="1" t="s">
        <v>971</v>
      </c>
      <c r="D2190" s="1" t="str">
        <f t="shared" si="19"/>
        <v>Z-2014-10</v>
      </c>
      <c r="E2190" s="1" t="s">
        <v>40</v>
      </c>
      <c r="F2190" s="1" t="s">
        <v>503</v>
      </c>
      <c r="G2190" s="1" t="str">
        <f t="shared" si="20"/>
        <v>20.10.2014.
do zaključenja Ugovora za 2015. godinu</v>
      </c>
      <c r="H2190" s="1" t="str">
        <f>CONCATENATE("RUBEŠA TIHOMIR, ODVJETNIK, ZAGREB")</f>
        <v>RUBEŠA TIHOMIR, ODVJETNIK, ZAGREB</v>
      </c>
      <c r="I2190" s="2"/>
      <c r="J2190" s="1"/>
      <c r="K2190" s="1" t="s">
        <v>607</v>
      </c>
    </row>
    <row r="2191" spans="1:11" ht="63" x14ac:dyDescent="0.25">
      <c r="A2191" s="1" t="str">
        <f>"784/2014"</f>
        <v>784/2014</v>
      </c>
      <c r="B2191" s="1" t="s">
        <v>14</v>
      </c>
      <c r="C2191" s="1" t="s">
        <v>975</v>
      </c>
      <c r="D2191" s="1" t="str">
        <f>CONCATENATE("1370-2014-EMV",CHAR(10),"2014/S 002-0033963 od 11.07.2014.")</f>
        <v>1370-2014-EMV
2014/S 002-0033963 od 11.07.2014.</v>
      </c>
      <c r="E2191" s="1" t="s">
        <v>15</v>
      </c>
      <c r="F2191" s="1" t="str">
        <f>"238.670,00"</f>
        <v>238.670,00</v>
      </c>
      <c r="G2191" s="1" t="str">
        <f>CONCATENATE("27.10.2014.",CHAR(10),"70 dana")</f>
        <v>27.10.2014.
70 dana</v>
      </c>
      <c r="H2191" s="1" t="str">
        <f>CONCATENATE("1. Zajednica ponuditelja: ",CHAR(10),"    GEOTEHNIČKI STUDIO D.O.O., ZAGREB-SUSEDGRAD",CHAR(10),"    MGV D.O.O., ZAGREB")</f>
        <v>1. Zajednica ponuditelja: 
    GEOTEHNIČKI STUDIO D.O.O., ZAGREB-SUSEDGRAD
    MGV D.O.O., ZAGREB</v>
      </c>
      <c r="I2191" s="2"/>
      <c r="J2191" s="1"/>
      <c r="K2191" s="2"/>
    </row>
    <row r="2192" spans="1:11" ht="47.25" x14ac:dyDescent="0.25">
      <c r="A2192" s="1" t="str">
        <f>"785/2014"</f>
        <v>785/2014</v>
      </c>
      <c r="B2192" s="1" t="s">
        <v>136</v>
      </c>
      <c r="C2192" s="1" t="s">
        <v>976</v>
      </c>
      <c r="D2192" s="1" t="str">
        <f>CONCATENATE("2014-2300",CHAR(10),"2014/S 002-0039708 od 21.08.2014.")</f>
        <v>2014-2300
2014/S 002-0039708 od 21.08.2014.</v>
      </c>
      <c r="E2192" s="1" t="s">
        <v>366</v>
      </c>
      <c r="F2192" s="1" t="str">
        <f>"567.200,00"</f>
        <v>567.200,00</v>
      </c>
      <c r="G2192" s="1" t="str">
        <f>CONCATENATE("24.10.2014.",CHAR(10),"2 godine")</f>
        <v>24.10.2014.
2 godine</v>
      </c>
      <c r="H2192" s="1" t="str">
        <f>CONCATENATE("CIJAN D.O.O., ZAGREB")</f>
        <v>CIJAN D.O.O., ZAGREB</v>
      </c>
      <c r="I2192" s="2"/>
      <c r="J2192" s="1"/>
      <c r="K2192" s="1" t="s">
        <v>607</v>
      </c>
    </row>
    <row r="2193" spans="1:11" ht="31.5" x14ac:dyDescent="0.25">
      <c r="A2193" s="1" t="str">
        <f>"A-120/2014"</f>
        <v>A-120/2014</v>
      </c>
      <c r="B2193" s="1" t="s">
        <v>11</v>
      </c>
      <c r="C2193" s="1" t="s">
        <v>977</v>
      </c>
      <c r="D2193" s="1" t="str">
        <f>"325-2014-EMV"</f>
        <v>325-2014-EMV</v>
      </c>
      <c r="E2193" s="2"/>
      <c r="F2193" s="1" t="str">
        <f>"15.264,00"</f>
        <v>15.264,00</v>
      </c>
      <c r="G2193" s="1" t="str">
        <f>"24.10.2014."</f>
        <v>24.10.2014.</v>
      </c>
      <c r="H2193" s="1" t="str">
        <f>CONCATENATE("NARODNE NOVINE D.D., ZAGREB")</f>
        <v>NARODNE NOVINE D.D., ZAGREB</v>
      </c>
      <c r="I2193" s="2"/>
      <c r="J2193" s="1"/>
      <c r="K2193" s="2"/>
    </row>
    <row r="2194" spans="1:11" ht="47.25" x14ac:dyDescent="0.25">
      <c r="A2194" s="1" t="str">
        <f>"786/2014"</f>
        <v>786/2014</v>
      </c>
      <c r="B2194" s="1" t="s">
        <v>14</v>
      </c>
      <c r="C2194" s="1" t="s">
        <v>978</v>
      </c>
      <c r="D2194" s="1" t="str">
        <f>CONCATENATE("1622-2014-EMV",CHAR(10),"2014/S 002-0035273 od 21.07.2014.")</f>
        <v>1622-2014-EMV
2014/S 002-0035273 od 21.07.2014.</v>
      </c>
      <c r="E2194" s="1" t="s">
        <v>15</v>
      </c>
      <c r="F2194" s="1" t="str">
        <f>"1.798.682,45"</f>
        <v>1.798.682,45</v>
      </c>
      <c r="G2194" s="1" t="str">
        <f>CONCATENATE("27.10.2014.",CHAR(10),"4 mjeseca od dana uvođenja u posao")</f>
        <v>27.10.2014.
4 mjeseca od dana uvođenja u posao</v>
      </c>
      <c r="H2194" s="1" t="str">
        <f>CONCATENATE("SPEKTAR GRADNJA D.O.O., ZAGREB")</f>
        <v>SPEKTAR GRADNJA D.O.O., ZAGREB</v>
      </c>
      <c r="I2194" s="2"/>
      <c r="J2194" s="1"/>
      <c r="K2194" s="2"/>
    </row>
    <row r="2195" spans="1:11" ht="47.25" x14ac:dyDescent="0.25">
      <c r="A2195" s="1" t="str">
        <f>"787/2014"</f>
        <v>787/2014</v>
      </c>
      <c r="B2195" s="1" t="s">
        <v>14</v>
      </c>
      <c r="C2195" s="1" t="s">
        <v>979</v>
      </c>
      <c r="D2195" s="1" t="str">
        <f>CONCATENATE("1309-2014-EMV",CHAR(10),"2014/S 002-0033605 od 10.07.2014.")</f>
        <v>1309-2014-EMV
2014/S 002-0033605 od 10.07.2014.</v>
      </c>
      <c r="E2195" s="1" t="s">
        <v>15</v>
      </c>
      <c r="F2195" s="1" t="str">
        <f>"894.006,00"</f>
        <v>894.006,00</v>
      </c>
      <c r="G2195" s="1" t="str">
        <f>CONCATENATE("28.10.2014.",CHAR(10),"45 dana od dana uvođenja u posao")</f>
        <v>28.10.2014.
45 dana od dana uvođenja u posao</v>
      </c>
      <c r="H2195" s="1" t="str">
        <f>CONCATENATE("1. Zajednica ponuditelja: ",CHAR(10),"    NEVING D.O.O., ZAGREB",CHAR(10),"    NERING D.O.O., SESVETE")</f>
        <v>1. Zajednica ponuditelja: 
    NEVING D.O.O., ZAGREB
    NERING D.O.O., SESVETE</v>
      </c>
      <c r="I2195" s="2"/>
      <c r="J2195" s="1"/>
      <c r="K2195" s="2"/>
    </row>
    <row r="2196" spans="1:11" ht="47.25" x14ac:dyDescent="0.25">
      <c r="A2196" s="1" t="str">
        <f>"788/2014"</f>
        <v>788/2014</v>
      </c>
      <c r="B2196" s="1" t="s">
        <v>14</v>
      </c>
      <c r="C2196" s="1" t="s">
        <v>980</v>
      </c>
      <c r="D2196" s="1" t="str">
        <f>CONCATENATE("3013-2014-EMV",CHAR(10),"2014/S-002-0041297 od 03.09.2014.")</f>
        <v>3013-2014-EMV
2014/S-002-0041297 od 03.09.2014.</v>
      </c>
      <c r="E2196" s="1" t="s">
        <v>15</v>
      </c>
      <c r="F2196" s="1" t="str">
        <f>"728.253,85"</f>
        <v>728.253,85</v>
      </c>
      <c r="G2196" s="1" t="str">
        <f>CONCATENATE("28.10.2014.",CHAR(10),"45 dana od dana uvođenja u posao")</f>
        <v>28.10.2014.
45 dana od dana uvođenja u posao</v>
      </c>
      <c r="H2196" s="1" t="str">
        <f>CONCATENATE("GRAĐEVINARSTVO VL. MIJO STIPIĆ, SVETI IVAN ZELINA")</f>
        <v>GRAĐEVINARSTVO VL. MIJO STIPIĆ, SVETI IVAN ZELINA</v>
      </c>
      <c r="I2196" s="2"/>
      <c r="J2196" s="1"/>
      <c r="K2196" s="2"/>
    </row>
    <row r="2197" spans="1:11" ht="63" x14ac:dyDescent="0.25">
      <c r="A2197" s="1" t="str">
        <f>"A-121/2014"</f>
        <v>A-121/2014</v>
      </c>
      <c r="B2197" s="1" t="s">
        <v>11</v>
      </c>
      <c r="C2197" s="1" t="s">
        <v>981</v>
      </c>
      <c r="D2197" s="1" t="str">
        <f>"2518-2014-EMV"</f>
        <v>2518-2014-EMV</v>
      </c>
      <c r="E2197" s="2"/>
      <c r="F2197" s="1" t="str">
        <f>"20.499,00"</f>
        <v>20.499,00</v>
      </c>
      <c r="G2197" s="1" t="str">
        <f>"28.10.2014."</f>
        <v>28.10.2014.</v>
      </c>
      <c r="H2197" s="1" t="str">
        <f>CONCATENATE("ORYX GRUPA D.O.O., SESVETE")</f>
        <v>ORYX GRUPA D.O.O., SESVETE</v>
      </c>
      <c r="I2197" s="2"/>
      <c r="J2197" s="1"/>
      <c r="K2197" s="2"/>
    </row>
    <row r="2198" spans="1:11" ht="47.25" x14ac:dyDescent="0.25">
      <c r="A2198" s="1" t="str">
        <f>"A-122/2014"</f>
        <v>A-122/2014</v>
      </c>
      <c r="B2198" s="1" t="s">
        <v>11</v>
      </c>
      <c r="C2198" s="1" t="s">
        <v>982</v>
      </c>
      <c r="D2198" s="1" t="str">
        <f>"2014-82"</f>
        <v>2014-82</v>
      </c>
      <c r="E2198" s="2"/>
      <c r="F2198" s="1" t="str">
        <f>"0,00"</f>
        <v>0,00</v>
      </c>
      <c r="G2198" s="1" t="str">
        <f>CONCATENATE("28.10.2014.",CHAR(10),"84 dana od uvođenja u posao")</f>
        <v>28.10.2014.
84 dana od uvođenja u posao</v>
      </c>
      <c r="H2198" s="1" t="str">
        <f>CONCATENATE("GTM D.O.O., VELIKA GORICA")</f>
        <v>GTM D.O.O., VELIKA GORICA</v>
      </c>
      <c r="I2198" s="2"/>
      <c r="J2198" s="1"/>
      <c r="K2198" s="1" t="s">
        <v>607</v>
      </c>
    </row>
    <row r="2199" spans="1:11" ht="47.25" x14ac:dyDescent="0.25">
      <c r="A2199" s="1" t="str">
        <f>"789/2014"</f>
        <v>789/2014</v>
      </c>
      <c r="B2199" s="1" t="s">
        <v>26</v>
      </c>
      <c r="C2199" s="1" t="s">
        <v>983</v>
      </c>
      <c r="D2199" s="1" t="str">
        <f>"2014-107"</f>
        <v>2014-107</v>
      </c>
      <c r="E2199" s="2"/>
      <c r="F2199" s="1" t="str">
        <f>"208.509,50"</f>
        <v>208.509,50</v>
      </c>
      <c r="G2199" s="1" t="str">
        <f>CONCATENATE("28.10.2014.",CHAR(10),"31.12.2014")</f>
        <v>28.10.2014.
31.12.2014</v>
      </c>
      <c r="H2199" s="1" t="str">
        <f>CONCATENATE("PIK VRBOVEC-MESNA INDUSTRIJA D.D., VRBOVEC")</f>
        <v>PIK VRBOVEC-MESNA INDUSTRIJA D.D., VRBOVEC</v>
      </c>
      <c r="I2199" s="1" t="s">
        <v>984</v>
      </c>
      <c r="J2199" s="1" t="str">
        <f>SUBSTITUTE(SUBSTITUTE(SUBSTITUTE("9,114.74",".","-"),",","."),"-",",")</f>
        <v>9.114,74</v>
      </c>
      <c r="K2199" s="1" t="s">
        <v>607</v>
      </c>
    </row>
    <row r="2200" spans="1:11" ht="47.25" x14ac:dyDescent="0.25">
      <c r="A2200" s="1" t="str">
        <f>"790/2014"</f>
        <v>790/2014</v>
      </c>
      <c r="B2200" s="1" t="s">
        <v>136</v>
      </c>
      <c r="C2200" s="1" t="s">
        <v>985</v>
      </c>
      <c r="D2200" s="1" t="str">
        <f>CONCATENATE("Z-2014-6",CHAR(10),"2014/S 002-0034494 od 15.07.2014.")</f>
        <v>Z-2014-6
2014/S 002-0034494 od 15.07.2014.</v>
      </c>
      <c r="E2200" s="1" t="s">
        <v>366</v>
      </c>
      <c r="F2200" s="1" t="str">
        <f>"198.227.087,52"</f>
        <v>198.227.087,52</v>
      </c>
      <c r="G2200" s="1" t="str">
        <f>CONCATENATE("29.10.2014.",CHAR(10),"2 godine")</f>
        <v>29.10.2014.
2 godine</v>
      </c>
      <c r="H2200" s="1" t="str">
        <f>CONCATENATE("HEP - OPSKRBA D.O.O., ZAGREB")</f>
        <v>HEP - OPSKRBA D.O.O., ZAGREB</v>
      </c>
      <c r="I2200" s="2"/>
      <c r="J2200" s="1"/>
      <c r="K2200" s="1" t="s">
        <v>607</v>
      </c>
    </row>
    <row r="2201" spans="1:11" ht="47.25" x14ac:dyDescent="0.25">
      <c r="A2201" s="1" t="str">
        <f>"791/2014"</f>
        <v>791/2014</v>
      </c>
      <c r="B2201" s="1" t="s">
        <v>136</v>
      </c>
      <c r="C2201" s="1" t="s">
        <v>986</v>
      </c>
      <c r="D2201" s="1" t="str">
        <f>CONCATENATE("2014-2426",CHAR(10),"2014/S-002-0040725 od 29.09.2014.")</f>
        <v>2014-2426
2014/S-002-0040725 od 29.09.2014.</v>
      </c>
      <c r="E2201" s="1" t="s">
        <v>366</v>
      </c>
      <c r="F2201" s="1" t="str">
        <f>"3.720.834,00"</f>
        <v>3.720.834,00</v>
      </c>
      <c r="G2201" s="1" t="str">
        <f>CONCATENATE("30.10.2014.",CHAR(10),"2 godine")</f>
        <v>30.10.2014.
2 godine</v>
      </c>
      <c r="H2201" s="1" t="str">
        <f>CONCATENATE("GRA-PO D.O.O., ZAGREB - STUPNIK")</f>
        <v>GRA-PO D.O.O., ZAGREB - STUPNIK</v>
      </c>
      <c r="I2201" s="2"/>
      <c r="J2201" s="1"/>
      <c r="K2201" s="1" t="s">
        <v>607</v>
      </c>
    </row>
    <row r="2202" spans="1:11" ht="47.25" x14ac:dyDescent="0.25">
      <c r="A2202" s="1" t="str">
        <f>"792/2014"</f>
        <v>792/2014</v>
      </c>
      <c r="B2202" s="1" t="s">
        <v>14</v>
      </c>
      <c r="C2202" s="1" t="s">
        <v>987</v>
      </c>
      <c r="D2202" s="1" t="str">
        <f>CONCATENATE("2014-2481",CHAR(10),"2014/S 002-0039493 od 20.08.2014.")</f>
        <v>2014-2481
2014/S 002-0039493 od 20.08.2014.</v>
      </c>
      <c r="E2202" s="1" t="s">
        <v>15</v>
      </c>
      <c r="F2202" s="1" t="str">
        <f>"342.792,00"</f>
        <v>342.792,00</v>
      </c>
      <c r="G2202" s="1" t="str">
        <f>CONCATENATE("30.10.2014.",CHAR(10),"1 godina")</f>
        <v>30.10.2014.
1 godina</v>
      </c>
      <c r="H2202" s="1" t="str">
        <f>CONCATENATE("PTMG D.O.O., GORNJI STUPNIK")</f>
        <v>PTMG D.O.O., GORNJI STUPNIK</v>
      </c>
      <c r="I2202" s="2"/>
      <c r="J2202" s="1"/>
      <c r="K2202" s="1" t="s">
        <v>607</v>
      </c>
    </row>
    <row r="2203" spans="1:11" ht="47.25" x14ac:dyDescent="0.25">
      <c r="A2203" s="1" t="str">
        <f>"793/2014"</f>
        <v>793/2014</v>
      </c>
      <c r="B2203" s="1" t="s">
        <v>136</v>
      </c>
      <c r="C2203" s="1" t="s">
        <v>988</v>
      </c>
      <c r="D2203" s="1" t="str">
        <f>CONCATENATE("251-2014-EVV",CHAR(10),"2014/S-002-0033918 od 11.07.2014.")</f>
        <v>251-2014-EVV
2014/S-002-0033918 od 11.07.2014.</v>
      </c>
      <c r="E2203" s="1" t="s">
        <v>366</v>
      </c>
      <c r="F2203" s="1" t="str">
        <f>"5.194.986,72"</f>
        <v>5.194.986,72</v>
      </c>
      <c r="G2203" s="1" t="str">
        <f>CONCATENATE("29.10.2014.",CHAR(10),"2 godine")</f>
        <v>29.10.2014.
2 godine</v>
      </c>
      <c r="H2203" s="1" t="str">
        <f>CONCATENATE("KING ICT D.O.O., ZAGREB")</f>
        <v>KING ICT D.O.O., ZAGREB</v>
      </c>
      <c r="I2203" s="2"/>
      <c r="J2203" s="1"/>
      <c r="K2203" s="2"/>
    </row>
    <row r="2204" spans="1:11" ht="63" x14ac:dyDescent="0.25">
      <c r="A2204" s="1" t="str">
        <f>"794/2014"</f>
        <v>794/2014</v>
      </c>
      <c r="B2204" s="1" t="s">
        <v>26</v>
      </c>
      <c r="C2204" s="1" t="s">
        <v>989</v>
      </c>
      <c r="D2204" s="1" t="str">
        <f>"Z-2014-3"</f>
        <v>Z-2014-3</v>
      </c>
      <c r="E2204" s="2"/>
      <c r="F2204" s="1" t="str">
        <f>"214.613,00"</f>
        <v>214.613,00</v>
      </c>
      <c r="G2204" s="1" t="str">
        <f>CONCATENATE("29.10.2014.",CHAR(10),"1 godina")</f>
        <v>29.10.2014.
1 godina</v>
      </c>
      <c r="H2204" s="1" t="str">
        <f>CONCATENATE("1. Zajednica ponuditelja: ",CHAR(10),"    INSAKO D.O.O., ZAGREB-NOVI ZAGREB",CHAR(10),"    PREMIUM D.O.O., ZAGREB")</f>
        <v>1. Zajednica ponuditelja: 
    INSAKO D.O.O., ZAGREB-NOVI ZAGREB
    PREMIUM D.O.O., ZAGREB</v>
      </c>
      <c r="I2204" s="2"/>
      <c r="J2204" s="1"/>
      <c r="K2204" s="1" t="s">
        <v>607</v>
      </c>
    </row>
    <row r="2205" spans="1:11" ht="47.25" x14ac:dyDescent="0.25">
      <c r="A2205" s="1" t="str">
        <f>"795/2014"</f>
        <v>795/2014</v>
      </c>
      <c r="B2205" s="1" t="s">
        <v>14</v>
      </c>
      <c r="C2205" s="1" t="s">
        <v>2867</v>
      </c>
      <c r="D2205" s="1" t="str">
        <f>CONCATENATE("2014-2482",CHAR(10),"2014/S-002-0039376 od 19.08.2014.")</f>
        <v>2014-2482
2014/S-002-0039376 od 19.08.2014.</v>
      </c>
      <c r="E2205" s="1" t="s">
        <v>15</v>
      </c>
      <c r="F2205" s="1" t="str">
        <f>"2.198.832,30"</f>
        <v>2.198.832,30</v>
      </c>
      <c r="G2205" s="1" t="str">
        <f>CONCATENATE("30.10.2014.",CHAR(10),"1 godina od potpisa Ugovora")</f>
        <v>30.10.2014.
1 godina od potpisa Ugovora</v>
      </c>
      <c r="H2205" s="1" t="str">
        <f>CONCATENATE("VODOSKOK D.D., ZAGREB")</f>
        <v>VODOSKOK D.D., ZAGREB</v>
      </c>
      <c r="I2205" s="2"/>
      <c r="J2205" s="1"/>
      <c r="K2205" s="1" t="s">
        <v>607</v>
      </c>
    </row>
    <row r="2206" spans="1:11" ht="47.25" x14ac:dyDescent="0.25">
      <c r="A2206" s="1" t="str">
        <f>"796/2014"</f>
        <v>796/2014</v>
      </c>
      <c r="B2206" s="1" t="s">
        <v>14</v>
      </c>
      <c r="C2206" s="1" t="s">
        <v>2868</v>
      </c>
      <c r="D2206" s="1" t="str">
        <f>CONCATENATE("2014-2482",CHAR(10),"2014/S-002-0039376 od 19.08.2014.")</f>
        <v>2014-2482
2014/S-002-0039376 od 19.08.2014.</v>
      </c>
      <c r="E2206" s="1" t="s">
        <v>15</v>
      </c>
      <c r="F2206" s="1" t="str">
        <f>"121.695,10"</f>
        <v>121.695,10</v>
      </c>
      <c r="G2206" s="1" t="str">
        <f>CONCATENATE("30.10.2014.",CHAR(10),"1 godina od potpisa Ugovora")</f>
        <v>30.10.2014.
1 godina od potpisa Ugovora</v>
      </c>
      <c r="H2206" s="1" t="str">
        <f>CONCATENATE("PTMG D.O.O., GORNJI STUPNIK")</f>
        <v>PTMG D.O.O., GORNJI STUPNIK</v>
      </c>
      <c r="I2206" s="2"/>
      <c r="J2206" s="1"/>
      <c r="K2206" s="1" t="s">
        <v>607</v>
      </c>
    </row>
    <row r="2207" spans="1:11" ht="47.25" x14ac:dyDescent="0.25">
      <c r="A2207" s="1" t="str">
        <f>"797/2014"</f>
        <v>797/2014</v>
      </c>
      <c r="B2207" s="1" t="s">
        <v>14</v>
      </c>
      <c r="C2207" s="1" t="s">
        <v>2869</v>
      </c>
      <c r="D2207" s="1" t="str">
        <f>CONCATENATE("2014-2482",CHAR(10),"2014/S-002-0039376 od 19.08.2014.")</f>
        <v>2014-2482
2014/S-002-0039376 od 19.08.2014.</v>
      </c>
      <c r="E2207" s="1" t="s">
        <v>15</v>
      </c>
      <c r="F2207" s="1" t="str">
        <f>"49.830,00"</f>
        <v>49.830,00</v>
      </c>
      <c r="G2207" s="1" t="str">
        <f>CONCATENATE("30.10.2014.",CHAR(10),"1 godina od potpisa Ugovora")</f>
        <v>30.10.2014.
1 godina od potpisa Ugovora</v>
      </c>
      <c r="H2207" s="1" t="str">
        <f>CONCATENATE("FDS-TRGOVINA D.O.O., ZAGREB")</f>
        <v>FDS-TRGOVINA D.O.O., ZAGREB</v>
      </c>
      <c r="I2207" s="2"/>
      <c r="J2207" s="1"/>
      <c r="K2207" s="1" t="s">
        <v>607</v>
      </c>
    </row>
    <row r="2208" spans="1:11" ht="47.25" x14ac:dyDescent="0.25">
      <c r="A2208" s="1" t="str">
        <f>"798/2014"</f>
        <v>798/2014</v>
      </c>
      <c r="B2208" s="1" t="s">
        <v>136</v>
      </c>
      <c r="C2208" s="1" t="s">
        <v>990</v>
      </c>
      <c r="D2208" s="1" t="str">
        <f>CONCATENATE("321-2014-EVV",CHAR(10),"2014/S 002-00235628 od 21.07.2014.")</f>
        <v>321-2014-EVV
2014/S 002-00235628 od 21.07.2014.</v>
      </c>
      <c r="E2208" s="1" t="s">
        <v>366</v>
      </c>
      <c r="F2208" s="1" t="str">
        <f>"2.331.984,80"</f>
        <v>2.331.984,80</v>
      </c>
      <c r="G2208" s="1" t="str">
        <f>CONCATENATE("24.10.2014.",CHAR(10),"2 godine")</f>
        <v>24.10.2014.
2 godine</v>
      </c>
      <c r="H2208" s="1" t="str">
        <f>CONCATENATE("MARINO-LUČKO D.O.O., LUČKO")</f>
        <v>MARINO-LUČKO D.O.O., LUČKO</v>
      </c>
      <c r="I2208" s="2"/>
      <c r="J2208" s="1"/>
      <c r="K2208" s="2"/>
    </row>
    <row r="2209" spans="1:11" ht="47.25" x14ac:dyDescent="0.25">
      <c r="A2209" s="1" t="str">
        <f>"799/2014"</f>
        <v>799/2014</v>
      </c>
      <c r="B2209" s="1" t="s">
        <v>136</v>
      </c>
      <c r="C2209" s="1" t="s">
        <v>991</v>
      </c>
      <c r="D2209" s="1" t="str">
        <f>CONCATENATE("2014-2217",CHAR(10),"2014/S 002-0034113 od 14.07.2014.")</f>
        <v>2014-2217
2014/S 002-0034113 od 14.07.2014.</v>
      </c>
      <c r="E2209" s="1" t="s">
        <v>366</v>
      </c>
      <c r="F2209" s="1" t="str">
        <f>"954.848,00"</f>
        <v>954.848,00</v>
      </c>
      <c r="G2209" s="1" t="str">
        <f>CONCATENATE("29.10.2014.",CHAR(10),"2 godine")</f>
        <v>29.10.2014.
2 godine</v>
      </c>
      <c r="H2209" s="1" t="str">
        <f>CONCATENATE("UNIQA OSIGURANJE D.D., ZAGREB")</f>
        <v>UNIQA OSIGURANJE D.D., ZAGREB</v>
      </c>
      <c r="I2209" s="2"/>
      <c r="J2209" s="1"/>
      <c r="K2209" s="1" t="s">
        <v>607</v>
      </c>
    </row>
    <row r="2210" spans="1:11" ht="47.25" x14ac:dyDescent="0.25">
      <c r="A2210" s="1" t="str">
        <f>"A-123/2014"</f>
        <v>A-123/2014</v>
      </c>
      <c r="B2210" s="1" t="s">
        <v>11</v>
      </c>
      <c r="C2210" s="1" t="s">
        <v>992</v>
      </c>
      <c r="D2210" s="1" t="str">
        <f>"1179-2013-EMV"</f>
        <v>1179-2013-EMV</v>
      </c>
      <c r="E2210" s="2"/>
      <c r="F2210" s="1" t="str">
        <f>"0,00"</f>
        <v>0,00</v>
      </c>
      <c r="G2210" s="1" t="str">
        <f>CONCATENATE("30.10.2014.",CHAR(10),"08.11.2014")</f>
        <v>30.10.2014.
08.11.2014</v>
      </c>
      <c r="H2210" s="1" t="str">
        <f>CONCATENATE("1. Zajednica ponuditelja: ",CHAR(10),"    TEH-GRADNJA D.O.O., ZAGREB",CHAR(10),"    GEOANDA D.O.O., ZAGREB")</f>
        <v>1. Zajednica ponuditelja: 
    TEH-GRADNJA D.O.O., ZAGREB
    GEOANDA D.O.O., ZAGREB</v>
      </c>
      <c r="I2210" s="2"/>
      <c r="J2210" s="1"/>
      <c r="K2210" s="2"/>
    </row>
    <row r="2211" spans="1:11" ht="126" x14ac:dyDescent="0.25">
      <c r="A2211" s="1" t="str">
        <f>"801/2014"</f>
        <v>801/2014</v>
      </c>
      <c r="B2211" s="1" t="s">
        <v>14</v>
      </c>
      <c r="C2211" s="1" t="s">
        <v>993</v>
      </c>
      <c r="D2211" s="1" t="str">
        <f>CONCATENATE("2040-2014-EMV",CHAR(10),"2014/S-002-0024244 od 15.05.2014.")</f>
        <v>2040-2014-EMV
2014/S-002-0024244 od 15.05.2014.</v>
      </c>
      <c r="E2211" s="1" t="s">
        <v>15</v>
      </c>
      <c r="F2211" s="1" t="str">
        <f>"932.000,00"</f>
        <v>932.000,00</v>
      </c>
      <c r="G2211" s="1" t="str">
        <f>CONCATENATE("04.11.2014.",CHAR(10),"12 mjeseci od dana obostranog potpisa Ugovora")</f>
        <v>04.11.2014.
12 mjeseci od dana obostranog potpisa Ugovora</v>
      </c>
      <c r="H2211" s="1" t="str">
        <f>CONCATENATE("1. Zajednica ponuditelja: ",CHAR(10),"    GEOTEHNIČKI STUDIO D.O.O., ZAGREB-SUSEDGRAD",CHAR(10),"    HIDROKONZALT D.O.O., ZAGREB",CHAR(10),"    HIDROKONZALT PROJEKTIRANJE D.O.O., ZAGREB",CHAR(10),"    IND-EKO D.O.O., RIJEKA",CHAR(10),"    IDT INŽENJERING D.O.O., OSIJEK")</f>
        <v>1. Zajednica ponuditelja: 
    GEOTEHNIČKI STUDIO D.O.O., ZAGREB-SUSEDGRAD
    HIDROKONZALT D.O.O., ZAGREB
    HIDROKONZALT PROJEKTIRANJE D.O.O., ZAGREB
    IND-EKO D.O.O., RIJEKA
    IDT INŽENJERING D.O.O., OSIJEK</v>
      </c>
      <c r="I2211" s="2"/>
      <c r="J2211" s="1"/>
      <c r="K2211" s="2"/>
    </row>
    <row r="2212" spans="1:11" ht="63" x14ac:dyDescent="0.25">
      <c r="A2212" s="1" t="str">
        <f>"802/2014"</f>
        <v>802/2014</v>
      </c>
      <c r="B2212" s="1" t="s">
        <v>136</v>
      </c>
      <c r="C2212" s="1" t="s">
        <v>994</v>
      </c>
      <c r="D2212" s="1" t="str">
        <f>CONCATENATE("2014-2252",CHAR(10),"2014/S 002-0030087 od 16.06.2014.")</f>
        <v>2014-2252
2014/S 002-0030087 od 16.06.2014.</v>
      </c>
      <c r="E2212" s="1" t="s">
        <v>366</v>
      </c>
      <c r="F2212" s="1" t="str">
        <f>"700.000,00"</f>
        <v>700.000,00</v>
      </c>
      <c r="G2212" s="1" t="str">
        <f>CONCATENATE("04.11.2014.",CHAR(10),"2 godine")</f>
        <v>04.11.2014.
2 godine</v>
      </c>
      <c r="H2212" s="1" t="str">
        <f>CONCATENATE("HOLCIM MINERALNI AGREGATI D.O.O., LEPOGLAVA",CHAR(10),"PATERNA D.O.O., PLETERNICA",CHAR(10),"RETA D.O.O., KARLOVAC")</f>
        <v>HOLCIM MINERALNI AGREGATI D.O.O., LEPOGLAVA
PATERNA D.O.O., PLETERNICA
RETA D.O.O., KARLOVAC</v>
      </c>
      <c r="I2212" s="2"/>
      <c r="J2212" s="1"/>
      <c r="K2212" s="1" t="s">
        <v>607</v>
      </c>
    </row>
    <row r="2213" spans="1:11" ht="47.25" x14ac:dyDescent="0.25">
      <c r="A2213" s="1" t="str">
        <f>"803/2014"</f>
        <v>803/2014</v>
      </c>
      <c r="B2213" s="1" t="s">
        <v>136</v>
      </c>
      <c r="C2213" s="1" t="s">
        <v>995</v>
      </c>
      <c r="D2213" s="1" t="str">
        <f>CONCATENATE("2014-2380",CHAR(10),"2014/S 002-0035607 od 22.07.2014.")</f>
        <v>2014-2380
2014/S 002-0035607 od 22.07.2014.</v>
      </c>
      <c r="E2213" s="1" t="s">
        <v>366</v>
      </c>
      <c r="F2213" s="1" t="str">
        <f>"1.496.000,00"</f>
        <v>1.496.000,00</v>
      </c>
      <c r="G2213" s="1" t="str">
        <f>CONCATENATE("04.11.2014.",CHAR(10),"2 godine")</f>
        <v>04.11.2014.
2 godine</v>
      </c>
      <c r="H2213" s="1" t="str">
        <f>CONCATENATE("SELEKTA PRIMA, ZAGREB")</f>
        <v>SELEKTA PRIMA, ZAGREB</v>
      </c>
      <c r="I2213" s="2"/>
      <c r="J2213" s="1"/>
      <c r="K2213" s="1" t="s">
        <v>607</v>
      </c>
    </row>
    <row r="2214" spans="1:11" ht="47.25" x14ac:dyDescent="0.25">
      <c r="A2214" s="1" t="str">
        <f>"804/2014"</f>
        <v>804/2014</v>
      </c>
      <c r="B2214" s="1" t="s">
        <v>26</v>
      </c>
      <c r="C2214" s="1" t="s">
        <v>996</v>
      </c>
      <c r="D2214" s="1" t="str">
        <f>"2014-49"</f>
        <v>2014-49</v>
      </c>
      <c r="E2214" s="2"/>
      <c r="F2214" s="1" t="str">
        <f>"1.002.871,00"</f>
        <v>1.002.871,00</v>
      </c>
      <c r="G2214" s="1" t="str">
        <f>CONCATENATE("04.11.2014.",CHAR(10),"01.08.2015")</f>
        <v>04.11.2014.
01.08.2015</v>
      </c>
      <c r="H2214" s="1" t="str">
        <f>CONCATENATE("INDUSTROOPREMA D.O.O, ZAGREB")</f>
        <v>INDUSTROOPREMA D.O.O, ZAGREB</v>
      </c>
      <c r="I2214" s="2"/>
      <c r="J2214" s="1"/>
      <c r="K2214" s="1" t="s">
        <v>607</v>
      </c>
    </row>
    <row r="2215" spans="1:11" ht="47.25" x14ac:dyDescent="0.25">
      <c r="A2215" s="1" t="str">
        <f>"A-125/2014"</f>
        <v>A-125/2014</v>
      </c>
      <c r="B2215" s="1" t="s">
        <v>11</v>
      </c>
      <c r="C2215" s="1" t="s">
        <v>997</v>
      </c>
      <c r="D2215" s="1" t="str">
        <f>"1223-2014-EMV"</f>
        <v>1223-2014-EMV</v>
      </c>
      <c r="E2215" s="2"/>
      <c r="F2215" s="1" t="str">
        <f>"14.515.350,83"</f>
        <v>14.515.350,83</v>
      </c>
      <c r="G2215" s="1" t="str">
        <f>"04.11.2014."</f>
        <v>04.11.2014.</v>
      </c>
      <c r="H2215" s="1" t="str">
        <f>CONCATENATE("HM-PATRIA D.O.O., ZAGREB")</f>
        <v>HM-PATRIA D.O.O., ZAGREB</v>
      </c>
      <c r="I2215" s="2"/>
      <c r="J2215" s="1"/>
      <c r="K2215" s="2"/>
    </row>
    <row r="2216" spans="1:11" ht="47.25" x14ac:dyDescent="0.25">
      <c r="A2216" s="1" t="str">
        <f>"805/2014"</f>
        <v>805/2014</v>
      </c>
      <c r="B2216" s="1" t="s">
        <v>26</v>
      </c>
      <c r="C2216" s="1" t="s">
        <v>998</v>
      </c>
      <c r="D2216" s="1" t="str">
        <f>"2014-621"</f>
        <v>2014-621</v>
      </c>
      <c r="E2216" s="2"/>
      <c r="F2216" s="1" t="str">
        <f>"1.680.152,00"</f>
        <v>1.680.152,00</v>
      </c>
      <c r="G2216" s="1" t="str">
        <f>CONCATENATE("28.10.2014.",CHAR(10),"1 godina")</f>
        <v>28.10.2014.
1 godina</v>
      </c>
      <c r="H2216" s="1" t="str">
        <f>CONCATENATE("IKOM D.O.O., ZAGREB-SUSEDGRAD")</f>
        <v>IKOM D.O.O., ZAGREB-SUSEDGRAD</v>
      </c>
      <c r="I2216" s="1" t="s">
        <v>427</v>
      </c>
      <c r="J2216" s="1" t="str">
        <f>SUBSTITUTE(SUBSTITUTE(SUBSTITUTE("2,100,190.00",".","-"),",","."),"-",",")</f>
        <v>2.100.190,00</v>
      </c>
      <c r="K2216" s="1" t="s">
        <v>607</v>
      </c>
    </row>
    <row r="2217" spans="1:11" ht="47.25" x14ac:dyDescent="0.25">
      <c r="A2217" s="1" t="str">
        <f>"806/2014"</f>
        <v>806/2014</v>
      </c>
      <c r="B2217" s="1" t="s">
        <v>14</v>
      </c>
      <c r="C2217" s="1" t="s">
        <v>999</v>
      </c>
      <c r="D2217" s="1" t="str">
        <f>"838-2014-EBV"</f>
        <v>838-2014-EBV</v>
      </c>
      <c r="E2217" s="1" t="s">
        <v>12</v>
      </c>
      <c r="F2217" s="1" t="str">
        <f>"213.300,00"</f>
        <v>213.300,00</v>
      </c>
      <c r="G2217" s="1" t="str">
        <f>CONCATENATE("03.11.2014.",CHAR(10),"30 dana od dana potpisa Ugovora")</f>
        <v>03.11.2014.
30 dana od dana potpisa Ugovora</v>
      </c>
      <c r="H2217" s="1" t="str">
        <f>CONCATENATE("CARIN D.O.O., ZAGREB")</f>
        <v>CARIN D.O.O., ZAGREB</v>
      </c>
      <c r="I2217" s="2"/>
      <c r="J2217" s="1"/>
      <c r="K2217" s="2"/>
    </row>
    <row r="2218" spans="1:11" ht="47.25" x14ac:dyDescent="0.25">
      <c r="A2218" s="1" t="str">
        <f>"807/2014"</f>
        <v>807/2014</v>
      </c>
      <c r="B2218" s="1" t="s">
        <v>26</v>
      </c>
      <c r="C2218" s="1" t="s">
        <v>970</v>
      </c>
      <c r="D2218" s="1" t="str">
        <f>"Z-2014-2"</f>
        <v>Z-2014-2</v>
      </c>
      <c r="E2218" s="2"/>
      <c r="F2218" s="1" t="str">
        <f>"416.339,50"</f>
        <v>416.339,50</v>
      </c>
      <c r="G2218" s="1" t="str">
        <f>CONCATENATE("03.11.2014.",CHAR(10),"30.06.2015")</f>
        <v>03.11.2014.
30.06.2015</v>
      </c>
      <c r="H2218" s="1" t="str">
        <f>CONCATENATE("NARODNE NOVINE D.D., ZAGREB")</f>
        <v>NARODNE NOVINE D.D., ZAGREB</v>
      </c>
      <c r="I2218" s="2"/>
      <c r="J2218" s="1"/>
      <c r="K2218" s="1" t="s">
        <v>607</v>
      </c>
    </row>
    <row r="2219" spans="1:11" ht="47.25" x14ac:dyDescent="0.25">
      <c r="A2219" s="1" t="str">
        <f>"808/2014"</f>
        <v>808/2014</v>
      </c>
      <c r="B2219" s="1" t="s">
        <v>26</v>
      </c>
      <c r="C2219" s="1" t="s">
        <v>970</v>
      </c>
      <c r="D2219" s="1" t="str">
        <f>"Z-2014-2"</f>
        <v>Z-2014-2</v>
      </c>
      <c r="E2219" s="2"/>
      <c r="F2219" s="1" t="str">
        <f>"33.150,00"</f>
        <v>33.150,00</v>
      </c>
      <c r="G2219" s="1" t="str">
        <f>CONCATENATE("03.11.2014.",CHAR(10),"30.06.2015")</f>
        <v>03.11.2014.
30.06.2015</v>
      </c>
      <c r="H2219" s="1" t="str">
        <f>CONCATENATE("CAPRICORNO D.O.O., SPLIT")</f>
        <v>CAPRICORNO D.O.O., SPLIT</v>
      </c>
      <c r="I2219" s="2"/>
      <c r="J2219" s="1"/>
      <c r="K2219" s="1" t="s">
        <v>607</v>
      </c>
    </row>
    <row r="2220" spans="1:11" ht="47.25" x14ac:dyDescent="0.25">
      <c r="A2220" s="1" t="str">
        <f>"809/2014"</f>
        <v>809/2014</v>
      </c>
      <c r="B2220" s="1" t="s">
        <v>14</v>
      </c>
      <c r="C2220" s="1" t="s">
        <v>1000</v>
      </c>
      <c r="D2220" s="1" t="str">
        <f>CONCATENATE("1363-2014-EMV",CHAR(10),"2014/S 002-0031744 od 01.07.2014.")</f>
        <v>1363-2014-EMV
2014/S 002-0031744 od 01.07.2014.</v>
      </c>
      <c r="E2220" s="1" t="s">
        <v>15</v>
      </c>
      <c r="F2220" s="1" t="str">
        <f>"7.886.663,06"</f>
        <v>7.886.663,06</v>
      </c>
      <c r="G2220" s="1" t="str">
        <f>CONCATENATE("03.11.2014.",CHAR(10),"12 mjeseci od dana obostranog potpisa Ugovora")</f>
        <v>03.11.2014.
12 mjeseci od dana obostranog potpisa Ugovora</v>
      </c>
      <c r="H2220" s="1" t="str">
        <f>CONCATENATE("VODOPRIVREDA ZAGREB D.D., ZAGREB")</f>
        <v>VODOPRIVREDA ZAGREB D.D., ZAGREB</v>
      </c>
      <c r="I2220" s="2"/>
      <c r="J2220" s="1"/>
      <c r="K2220" s="2"/>
    </row>
    <row r="2221" spans="1:11" ht="47.25" x14ac:dyDescent="0.25">
      <c r="A2221" s="1" t="str">
        <f>"810/2014"</f>
        <v>810/2014</v>
      </c>
      <c r="B2221" s="1" t="s">
        <v>14</v>
      </c>
      <c r="C2221" s="1" t="s">
        <v>1001</v>
      </c>
      <c r="D2221" s="1" t="str">
        <f>CONCATENATE("2014-2361",CHAR(10),"2014/S 002-0041766 od 05.09.2014.")</f>
        <v>2014-2361
2014/S 002-0041766 od 05.09.2014.</v>
      </c>
      <c r="E2221" s="1" t="s">
        <v>15</v>
      </c>
      <c r="F2221" s="1" t="str">
        <f>"227.000,00"</f>
        <v>227.000,00</v>
      </c>
      <c r="G2221" s="1" t="str">
        <f>CONCATENATE("03.11.2014.",CHAR(10),"540 dana računajući od dana obostranog potpisa Ugovora")</f>
        <v>03.11.2014.
540 dana računajući od dana obostranog potpisa Ugovora</v>
      </c>
      <c r="H2221" s="1" t="str">
        <f>CONCATENATE("HIDROPROJEKT D.O.O., ZAGREB")</f>
        <v>HIDROPROJEKT D.O.O., ZAGREB</v>
      </c>
      <c r="I2221" s="2"/>
      <c r="J2221" s="1"/>
      <c r="K2221" s="1" t="s">
        <v>607</v>
      </c>
    </row>
    <row r="2222" spans="1:11" ht="47.25" x14ac:dyDescent="0.25">
      <c r="A2222" s="1" t="str">
        <f>"A-126/2014"</f>
        <v>A-126/2014</v>
      </c>
      <c r="B2222" s="1" t="s">
        <v>11</v>
      </c>
      <c r="C2222" s="1" t="s">
        <v>1002</v>
      </c>
      <c r="D2222" s="1" t="str">
        <f>"2906-2014-EMV"</f>
        <v>2906-2014-EMV</v>
      </c>
      <c r="E2222" s="2"/>
      <c r="F2222" s="1" t="str">
        <f>"27.116,18"</f>
        <v>27.116,18</v>
      </c>
      <c r="G2222" s="1" t="str">
        <f>"03.11.2014."</f>
        <v>03.11.2014.</v>
      </c>
      <c r="H2222" s="1" t="str">
        <f>CONCATENATE("GLAS KONCILA, ZAGREB")</f>
        <v>GLAS KONCILA, ZAGREB</v>
      </c>
      <c r="I2222" s="1" t="s">
        <v>746</v>
      </c>
      <c r="J2222" s="1" t="str">
        <f>SUBSTITUTE(SUBSTITUTE(SUBSTITUTE("28,471.94",".","-"),",","."),"-",",")</f>
        <v>28.471,94</v>
      </c>
      <c r="K2222" s="2"/>
    </row>
    <row r="2223" spans="1:11" ht="47.25" x14ac:dyDescent="0.25">
      <c r="A2223" s="1" t="str">
        <f>"812/2014"</f>
        <v>812/2014</v>
      </c>
      <c r="B2223" s="1" t="s">
        <v>136</v>
      </c>
      <c r="C2223" s="1" t="s">
        <v>1003</v>
      </c>
      <c r="D2223" s="1" t="str">
        <f>CONCATENATE("242-2014-EMV",CHAR(10),"2014/S 002-0040481 od 27.08.2014.")</f>
        <v>242-2014-EMV
2014/S 002-0040481 od 27.08.2014.</v>
      </c>
      <c r="E2223" s="1" t="s">
        <v>366</v>
      </c>
      <c r="F2223" s="1" t="str">
        <f>"799.200,00"</f>
        <v>799.200,00</v>
      </c>
      <c r="G2223" s="1" t="str">
        <f>CONCATENATE("04.11.2014.",CHAR(10),"2 godine")</f>
        <v>04.11.2014.
2 godine</v>
      </c>
      <c r="H2223" s="1" t="str">
        <f>CONCATENATE("BCC SERVICES D.O.O., ZAGREB")</f>
        <v>BCC SERVICES D.O.O., ZAGREB</v>
      </c>
      <c r="I2223" s="2"/>
      <c r="J2223" s="1"/>
      <c r="K2223" s="2"/>
    </row>
    <row r="2224" spans="1:11" ht="47.25" x14ac:dyDescent="0.25">
      <c r="A2224" s="1" t="str">
        <f>"813/2014"</f>
        <v>813/2014</v>
      </c>
      <c r="B2224" s="1" t="s">
        <v>136</v>
      </c>
      <c r="C2224" s="1" t="s">
        <v>1004</v>
      </c>
      <c r="D2224" s="1" t="str">
        <f>CONCATENATE("2014-48",CHAR(10),"2014/S 002-0042552 od 09.09.2014.")</f>
        <v>2014-48
2014/S 002-0042552 od 09.09.2014.</v>
      </c>
      <c r="E2224" s="1" t="s">
        <v>366</v>
      </c>
      <c r="F2224" s="1" t="str">
        <f>"1.215.676,00"</f>
        <v>1.215.676,00</v>
      </c>
      <c r="G2224" s="1" t="str">
        <f>CONCATENATE("03.11.2014.",CHAR(10),"2 godine")</f>
        <v>03.11.2014.
2 godine</v>
      </c>
      <c r="H2224" s="1" t="str">
        <f>CONCATENATE("GUMIIMPEX - GRP D.D., VARAŽDIN")</f>
        <v>GUMIIMPEX - GRP D.D., VARAŽDIN</v>
      </c>
      <c r="I2224" s="2"/>
      <c r="J2224" s="1"/>
      <c r="K2224" s="1" t="s">
        <v>607</v>
      </c>
    </row>
    <row r="2225" spans="1:11" ht="47.25" x14ac:dyDescent="0.25">
      <c r="A2225" s="1" t="str">
        <f>"814/2014"</f>
        <v>814/2014</v>
      </c>
      <c r="B2225" s="1" t="s">
        <v>14</v>
      </c>
      <c r="C2225" s="1" t="s">
        <v>1005</v>
      </c>
      <c r="D2225" s="1" t="str">
        <f>CONCATENATE("473-2014-EMV",CHAR(10),"2014/S 002-0034662 od 16.07.2014.")</f>
        <v>473-2014-EMV
2014/S 002-0034662 od 16.07.2014.</v>
      </c>
      <c r="E2225" s="1" t="s">
        <v>15</v>
      </c>
      <c r="F2225" s="1" t="str">
        <f>"1.240.414,07"</f>
        <v>1.240.414,07</v>
      </c>
      <c r="G2225" s="1" t="str">
        <f>CONCATENATE("03.11.2014.",CHAR(10),"120 dana od dana uvođenja u posao")</f>
        <v>03.11.2014.
120 dana od dana uvođenja u posao</v>
      </c>
      <c r="H2225" s="1" t="str">
        <f>CONCATENATE("O.K.I. MONT D.O.O., ZAGREB")</f>
        <v>O.K.I. MONT D.O.O., ZAGREB</v>
      </c>
      <c r="I2225" s="2"/>
      <c r="J2225" s="1"/>
      <c r="K2225" s="2"/>
    </row>
    <row r="2226" spans="1:11" ht="47.25" x14ac:dyDescent="0.25">
      <c r="A2226" s="1" t="str">
        <f>"815/2014"</f>
        <v>815/2014</v>
      </c>
      <c r="B2226" s="1" t="s">
        <v>26</v>
      </c>
      <c r="C2226" s="1" t="s">
        <v>1006</v>
      </c>
      <c r="D2226" s="1" t="str">
        <f>"321-2014-EVV"</f>
        <v>321-2014-EVV</v>
      </c>
      <c r="E2226" s="2"/>
      <c r="F2226" s="1" t="str">
        <f>"1.165.992,40"</f>
        <v>1.165.992,40</v>
      </c>
      <c r="G2226" s="1" t="str">
        <f>CONCATENATE("31.10.2014.",CHAR(10),"12 mjeseci od dana obostranog potpisa Ugovora")</f>
        <v>31.10.2014.
12 mjeseci od dana obostranog potpisa Ugovora</v>
      </c>
      <c r="H2226" s="1" t="str">
        <f>CONCATENATE("MARINO-LUČKO D.O.O., LUČKO")</f>
        <v>MARINO-LUČKO D.O.O., LUČKO</v>
      </c>
      <c r="I2226" s="2"/>
      <c r="J2226" s="1"/>
      <c r="K2226" s="2"/>
    </row>
    <row r="2227" spans="1:11" ht="220.5" x14ac:dyDescent="0.25">
      <c r="A2227" s="1" t="str">
        <f>"816/2014"</f>
        <v>816/2014</v>
      </c>
      <c r="B2227" s="1" t="s">
        <v>136</v>
      </c>
      <c r="C2227" s="1" t="s">
        <v>2870</v>
      </c>
      <c r="D2227" s="1" t="str">
        <f>CONCATENATE("2014-2461",CHAR(10),"2014/S 002-0040054 od 25.08.2014.")</f>
        <v>2014-2461
2014/S 002-0040054 od 25.08.2014.</v>
      </c>
      <c r="E2227" s="1" t="s">
        <v>366</v>
      </c>
      <c r="F2227" s="1" t="str">
        <f>"350.789,00"</f>
        <v>350.789,00</v>
      </c>
      <c r="G2227" s="1" t="str">
        <f>CONCATENATE("05.11.2014.",CHAR(10),"2 godine")</f>
        <v>05.11.2014.
2 godine</v>
      </c>
      <c r="H2227" s="1" t="str">
        <f>CONCATENATE("MAN IMPORTER HRVATSKA D.O.O., HRVATSKI LESKOVAC")</f>
        <v>MAN IMPORTER HRVATSKA D.O.O., HRVATSKI LESKOVAC</v>
      </c>
      <c r="I2227" s="2"/>
      <c r="J2227" s="1"/>
      <c r="K2227" s="1" t="s">
        <v>607</v>
      </c>
    </row>
    <row r="2228" spans="1:11" ht="78.75" x14ac:dyDescent="0.25">
      <c r="A2228" s="1" t="str">
        <f>"A-127/2014"</f>
        <v>A-127/2014</v>
      </c>
      <c r="B2228" s="1" t="s">
        <v>11</v>
      </c>
      <c r="C2228" s="1" t="s">
        <v>1007</v>
      </c>
      <c r="D2228" s="1" t="str">
        <f>"2860-2013-EMV"</f>
        <v>2860-2013-EMV</v>
      </c>
      <c r="E2228" s="2"/>
      <c r="F2228" s="1" t="str">
        <f>"0,00"</f>
        <v>0,00</v>
      </c>
      <c r="G2228" s="1" t="str">
        <f>CONCATENATE("05.11.2014.",CHAR(10),"11.12.2014")</f>
        <v>05.11.2014.
11.12.2014</v>
      </c>
      <c r="H2228" s="1" t="str">
        <f>CONCATENATE("1. Zajednica ponuditelja: ",CHAR(10),"    ING EKSPERT D.O.O., ZAGREB",CHAR(10),"    H5 D.O.O,., BELOVAR",CHAR(10),"    ELVING PROJEKTIRANJE D.O.O., NOVI MAROF")</f>
        <v>1. Zajednica ponuditelja: 
    ING EKSPERT D.O.O., ZAGREB
    H5 D.O.O,., BELOVAR
    ELVING PROJEKTIRANJE D.O.O., NOVI MAROF</v>
      </c>
      <c r="I2228" s="2"/>
      <c r="J2228" s="1"/>
      <c r="K2228" s="2"/>
    </row>
    <row r="2229" spans="1:11" ht="47.25" x14ac:dyDescent="0.25">
      <c r="A2229" s="1" t="str">
        <f>"818/2014"</f>
        <v>818/2014</v>
      </c>
      <c r="B2229" s="1" t="s">
        <v>26</v>
      </c>
      <c r="C2229" s="1" t="s">
        <v>1008</v>
      </c>
      <c r="D2229" s="1" t="str">
        <f>"Z-2014-6"</f>
        <v>Z-2014-6</v>
      </c>
      <c r="E2229" s="2"/>
      <c r="F2229" s="1" t="str">
        <f>"99.113.572,04"</f>
        <v>99.113.572,04</v>
      </c>
      <c r="G2229" s="1" t="str">
        <f>CONCATENATE("06.11.2014.",CHAR(10),"1 godina")</f>
        <v>06.11.2014.
1 godina</v>
      </c>
      <c r="H2229" s="1" t="str">
        <f>CONCATENATE("HEP - OPSKRBA D.O.O., ZAGREB")</f>
        <v>HEP - OPSKRBA D.O.O., ZAGREB</v>
      </c>
      <c r="I2229" s="2"/>
      <c r="J2229" s="1"/>
      <c r="K2229" s="1" t="s">
        <v>607</v>
      </c>
    </row>
    <row r="2230" spans="1:11" ht="47.25" x14ac:dyDescent="0.25">
      <c r="A2230" s="1" t="str">
        <f>"A-128/2014"</f>
        <v>A-128/2014</v>
      </c>
      <c r="B2230" s="1" t="s">
        <v>11</v>
      </c>
      <c r="C2230" s="1" t="s">
        <v>1009</v>
      </c>
      <c r="D2230" s="1" t="str">
        <f>"Z-2014-1"</f>
        <v>Z-2014-1</v>
      </c>
      <c r="E2230" s="2"/>
      <c r="F2230" s="1" t="str">
        <f>"0,00"</f>
        <v>0,00</v>
      </c>
      <c r="G2230" s="1" t="str">
        <f>"10.11.2014."</f>
        <v>10.11.2014.</v>
      </c>
      <c r="H2230" s="1" t="str">
        <f>CONCATENATE("1. Zajednica ponuditelja: ",CHAR(10),"    BIRODOM D.O.O., LUČKO",CHAR(10),"    STUBLIĆ IMPEX D.O.O., SESVETE")</f>
        <v>1. Zajednica ponuditelja: 
    BIRODOM D.O.O., LUČKO
    STUBLIĆ IMPEX D.O.O., SESVETE</v>
      </c>
      <c r="I2230" s="2"/>
      <c r="J2230" s="1"/>
      <c r="K2230" s="1" t="s">
        <v>607</v>
      </c>
    </row>
    <row r="2231" spans="1:11" ht="78.75" x14ac:dyDescent="0.25">
      <c r="A2231" s="1" t="str">
        <f>"820/2014"</f>
        <v>820/2014</v>
      </c>
      <c r="B2231" s="1" t="s">
        <v>14</v>
      </c>
      <c r="C2231" s="1" t="s">
        <v>1010</v>
      </c>
      <c r="D2231" s="1" t="str">
        <f>CONCATENATE("1229-2014-EMV",CHAR(10),"2014/S 002-0040717 od 29.08.2014.")</f>
        <v>1229-2014-EMV
2014/S 002-0040717 od 29.08.2014.</v>
      </c>
      <c r="E2231" s="1" t="s">
        <v>15</v>
      </c>
      <c r="F2231" s="1" t="str">
        <f>"849.300,00"</f>
        <v>849.300,00</v>
      </c>
      <c r="G2231" s="1" t="str">
        <f>CONCATENATE("03.11.2014.",CHAR(10),"3 mjeseca od obostranog potpisa Ugovora (Postava 29.11.2014 i uklanjanje 03.02.2015)")</f>
        <v>03.11.2014.
3 mjeseca od obostranog potpisa Ugovora (Postava 29.11.2014 i uklanjanje 03.02.2015)</v>
      </c>
      <c r="H2231" s="1" t="str">
        <f>CONCATENATE("ZAGREBAČKI HOLDING D.O.O., PODRUŽNICA ZRINJEVAC, ZAGREB")</f>
        <v>ZAGREBAČKI HOLDING D.O.O., PODRUŽNICA ZRINJEVAC, ZAGREB</v>
      </c>
      <c r="I2231" s="2"/>
      <c r="J2231" s="1"/>
      <c r="K2231" s="2"/>
    </row>
    <row r="2232" spans="1:11" ht="47.25" x14ac:dyDescent="0.25">
      <c r="A2232" s="1" t="str">
        <f>"821/2014"</f>
        <v>821/2014</v>
      </c>
      <c r="B2232" s="1" t="s">
        <v>26</v>
      </c>
      <c r="C2232" s="1" t="s">
        <v>1011</v>
      </c>
      <c r="D2232" s="1" t="str">
        <f>"2014-2201"</f>
        <v>2014-2201</v>
      </c>
      <c r="E2232" s="2"/>
      <c r="F2232" s="1" t="str">
        <f>"239.100,00"</f>
        <v>239.100,00</v>
      </c>
      <c r="G2232" s="1" t="str">
        <f>CONCATENATE("11.11.2014.",CHAR(10),"31.12.2014")</f>
        <v>11.11.2014.
31.12.2014</v>
      </c>
      <c r="H2232" s="1" t="str">
        <f>CONCATENATE("GEOGIS D.O.O., ZAGREB")</f>
        <v>GEOGIS D.O.O., ZAGREB</v>
      </c>
      <c r="I2232" s="2"/>
      <c r="J2232" s="1"/>
      <c r="K2232" s="1" t="s">
        <v>607</v>
      </c>
    </row>
    <row r="2233" spans="1:11" ht="63" x14ac:dyDescent="0.25">
      <c r="A2233" s="1" t="str">
        <f>"822/2014"</f>
        <v>822/2014</v>
      </c>
      <c r="B2233" s="1" t="s">
        <v>14</v>
      </c>
      <c r="C2233" s="1" t="s">
        <v>1012</v>
      </c>
      <c r="D2233" s="1" t="str">
        <f>CONCATENATE("1329-2014-EMV",CHAR(10),"2014/S 002-0034620 od 16.07.2014.")</f>
        <v>1329-2014-EMV
2014/S 002-0034620 od 16.07.2014.</v>
      </c>
      <c r="E2233" s="1" t="s">
        <v>15</v>
      </c>
      <c r="F2233" s="1" t="str">
        <f>"58.000,00"</f>
        <v>58.000,00</v>
      </c>
      <c r="G2233" s="1" t="str">
        <f>CONCATENATE("11.11.2014.",CHAR(10),"120 dana od dana uvođenja u posao")</f>
        <v>11.11.2014.
120 dana od dana uvođenja u posao</v>
      </c>
      <c r="H2233" s="1" t="str">
        <f>CONCATENATE("1. Zajednica ponuditelja: ",CHAR(10),"    EKO-PLAN D.O.O., ZAGREB",CHAR(10),"    LAUREUS PROJEKT D.O.O., ZAGREB",CHAR(10),"    DRUGI FORMAT D.O.O., ZAGREB")</f>
        <v>1. Zajednica ponuditelja: 
    EKO-PLAN D.O.O., ZAGREB
    LAUREUS PROJEKT D.O.O., ZAGREB
    DRUGI FORMAT D.O.O., ZAGREB</v>
      </c>
      <c r="I2233" s="2"/>
      <c r="J2233" s="1"/>
      <c r="K2233" s="2"/>
    </row>
    <row r="2234" spans="1:11" ht="63" x14ac:dyDescent="0.25">
      <c r="A2234" s="1" t="str">
        <f>"823/2014"</f>
        <v>823/2014</v>
      </c>
      <c r="B2234" s="1" t="s">
        <v>136</v>
      </c>
      <c r="C2234" s="1" t="s">
        <v>1013</v>
      </c>
      <c r="D2234" s="1" t="str">
        <f t="shared" ref="D2234:D2245" si="21">CONCATENATE("Z-2014-14",CHAR(10),"2014/S 002-0038839 od 12.08.2014.")</f>
        <v>Z-2014-14
2014/S 002-0038839 od 12.08.2014.</v>
      </c>
      <c r="E2234" s="1" t="s">
        <v>366</v>
      </c>
      <c r="F2234" s="1" t="str">
        <f>"13.282.150,00"</f>
        <v>13.282.150,00</v>
      </c>
      <c r="G2234" s="1" t="str">
        <f t="shared" ref="G2234:G2242" si="22">CONCATENATE("07.11.2014.",CHAR(10),"4 godine")</f>
        <v>07.11.2014.
4 godine</v>
      </c>
      <c r="H2234" s="1" t="str">
        <f>CONCATENATE("1. Zajednica ponuditelja: ",CHAR(10),"    PALIĆ INŽENJERING, ZAGREB",CHAR(10),"    REMETINEC GRADNJA D.O.O., ZAGREB")</f>
        <v>1. Zajednica ponuditelja: 
    PALIĆ INŽENJERING, ZAGREB
    REMETINEC GRADNJA D.O.O., ZAGREB</v>
      </c>
      <c r="I2234" s="2"/>
      <c r="J2234" s="1"/>
      <c r="K2234" s="1" t="s">
        <v>607</v>
      </c>
    </row>
    <row r="2235" spans="1:11" ht="94.5" x14ac:dyDescent="0.25">
      <c r="A2235" s="1" t="str">
        <f>"824/2014"</f>
        <v>824/2014</v>
      </c>
      <c r="B2235" s="1" t="s">
        <v>136</v>
      </c>
      <c r="C2235" s="1" t="s">
        <v>1014</v>
      </c>
      <c r="D2235" s="1" t="str">
        <f t="shared" si="21"/>
        <v>Z-2014-14
2014/S 002-0038839 od 12.08.2014.</v>
      </c>
      <c r="E2235" s="1" t="s">
        <v>366</v>
      </c>
      <c r="F2235" s="1" t="str">
        <f>"11.946.070,00"</f>
        <v>11.946.070,00</v>
      </c>
      <c r="G2235" s="1" t="str">
        <f t="shared" si="22"/>
        <v>07.11.2014.
4 godine</v>
      </c>
      <c r="H2235" s="1" t="str">
        <f>CONCATENATE("1. Zajednica ponuditelja: ",CHAR(10),"    PRIGORAC-GRAĐENJE D.O.O., SESVETE",CHAR(10),"    BOLČEVIĆ GRADNJA D.O.O., SESVETE-KRALJEVEC",CHAR(10),"    PARTNER KOP D.O.O., ZAGREB")</f>
        <v>1. Zajednica ponuditelja: 
    PRIGORAC-GRAĐENJE D.O.O., SESVETE
    BOLČEVIĆ GRADNJA D.O.O., SESVETE-KRALJEVEC
    PARTNER KOP D.O.O., ZAGREB</v>
      </c>
      <c r="I2235" s="2"/>
      <c r="J2235" s="1"/>
      <c r="K2235" s="1" t="s">
        <v>607</v>
      </c>
    </row>
    <row r="2236" spans="1:11" ht="94.5" x14ac:dyDescent="0.25">
      <c r="A2236" s="1" t="str">
        <f>"825/2014"</f>
        <v>825/2014</v>
      </c>
      <c r="B2236" s="1" t="s">
        <v>136</v>
      </c>
      <c r="C2236" s="1" t="s">
        <v>1015</v>
      </c>
      <c r="D2236" s="1" t="str">
        <f t="shared" si="21"/>
        <v>Z-2014-14
2014/S 002-0038839 od 12.08.2014.</v>
      </c>
      <c r="E2236" s="1" t="s">
        <v>366</v>
      </c>
      <c r="F2236" s="1" t="str">
        <f>"11.937.580,00"</f>
        <v>11.937.580,00</v>
      </c>
      <c r="G2236" s="1" t="str">
        <f t="shared" si="22"/>
        <v>07.11.2014.
4 godine</v>
      </c>
      <c r="H2236" s="1" t="str">
        <f>CONCATENATE("1. Zajednica ponuditelja: ",CHAR(10),"    PMB-BAUTRANS D.O.O., BELOVAR",CHAR(10),"    ZELINA PROMET D.O.O., DONJA ZELINA",CHAR(10),"    PAJ-PROMET D.O.O., BELOVAR",CHAR(10),"    PAN-PVG SERVIS D.O.O., BELOVAR")</f>
        <v>1. Zajednica ponuditelja: 
    PMB-BAUTRANS D.O.O., BELOVAR
    ZELINA PROMET D.O.O., DONJA ZELINA
    PAJ-PROMET D.O.O., BELOVAR
    PAN-PVG SERVIS D.O.O., BELOVAR</v>
      </c>
      <c r="I2236" s="2"/>
      <c r="J2236" s="1"/>
      <c r="K2236" s="1" t="s">
        <v>607</v>
      </c>
    </row>
    <row r="2237" spans="1:11" ht="94.5" x14ac:dyDescent="0.25">
      <c r="A2237" s="1" t="str">
        <f>"826/2014"</f>
        <v>826/2014</v>
      </c>
      <c r="B2237" s="1" t="s">
        <v>136</v>
      </c>
      <c r="C2237" s="1" t="s">
        <v>1016</v>
      </c>
      <c r="D2237" s="1" t="str">
        <f t="shared" si="21"/>
        <v>Z-2014-14
2014/S 002-0038839 od 12.08.2014.</v>
      </c>
      <c r="E2237" s="1" t="s">
        <v>366</v>
      </c>
      <c r="F2237" s="1" t="str">
        <f>"10.339.300,00"</f>
        <v>10.339.300,00</v>
      </c>
      <c r="G2237" s="1" t="str">
        <f t="shared" si="22"/>
        <v>07.11.2014.
4 godine</v>
      </c>
      <c r="H2237" s="1" t="str">
        <f>CONCATENATE("BISTRA-KOP OBRT ZA AUTOPRIJEVOZ, RAD GRAĐEVINSKIM STROJEVIMA I IZGRADNJU PROMETNIH OBJEKATA VL. BRATISLAV ŠKRLIN-BATINA, DONJA BISTRA, BUKOVJE BISTRANSKO")</f>
        <v>BISTRA-KOP OBRT ZA AUTOPRIJEVOZ, RAD GRAĐEVINSKIM STROJEVIMA I IZGRADNJU PROMETNIH OBJEKATA VL. BRATISLAV ŠKRLIN-BATINA, DONJA BISTRA, BUKOVJE BISTRANSKO</v>
      </c>
      <c r="I2237" s="2"/>
      <c r="J2237" s="1"/>
      <c r="K2237" s="1" t="s">
        <v>607</v>
      </c>
    </row>
    <row r="2238" spans="1:11" ht="47.25" x14ac:dyDescent="0.25">
      <c r="A2238" s="1" t="str">
        <f>"827/2014"</f>
        <v>827/2014</v>
      </c>
      <c r="B2238" s="1" t="s">
        <v>136</v>
      </c>
      <c r="C2238" s="1" t="s">
        <v>1017</v>
      </c>
      <c r="D2238" s="1" t="str">
        <f t="shared" si="21"/>
        <v>Z-2014-14
2014/S 002-0038839 od 12.08.2014.</v>
      </c>
      <c r="E2238" s="1" t="s">
        <v>366</v>
      </c>
      <c r="F2238" s="1" t="str">
        <f>"11.392.600,00"</f>
        <v>11.392.600,00</v>
      </c>
      <c r="G2238" s="1" t="str">
        <f t="shared" si="22"/>
        <v>07.11.2014.
4 godine</v>
      </c>
      <c r="H2238" s="1" t="str">
        <f>CONCATENATE("POLJO-PROM TRGOVINA I USLUGE, VL. ZLATKO KRIŽANIĆ, ZAGREB")</f>
        <v>POLJO-PROM TRGOVINA I USLUGE, VL. ZLATKO KRIŽANIĆ, ZAGREB</v>
      </c>
      <c r="I2238" s="2"/>
      <c r="J2238" s="1"/>
      <c r="K2238" s="1" t="s">
        <v>607</v>
      </c>
    </row>
    <row r="2239" spans="1:11" ht="47.25" x14ac:dyDescent="0.25">
      <c r="A2239" s="1" t="str">
        <f>"828/2014"</f>
        <v>828/2014</v>
      </c>
      <c r="B2239" s="1" t="s">
        <v>136</v>
      </c>
      <c r="C2239" s="1" t="s">
        <v>1018</v>
      </c>
      <c r="D2239" s="1" t="str">
        <f t="shared" si="21"/>
        <v>Z-2014-14
2014/S 002-0038839 od 12.08.2014.</v>
      </c>
      <c r="E2239" s="1" t="s">
        <v>366</v>
      </c>
      <c r="F2239" s="1" t="str">
        <f>"10.942.300,00"</f>
        <v>10.942.300,00</v>
      </c>
      <c r="G2239" s="1" t="str">
        <f t="shared" si="22"/>
        <v>07.11.2014.
4 godine</v>
      </c>
      <c r="H2239" s="1" t="str">
        <f>CONCATENATE("GRADNJA I TRGOVINA GAJ D.O.O., ZAGREB",CHAR(10),"P.G.P. D.O.O., ZAGREB")</f>
        <v>GRADNJA I TRGOVINA GAJ D.O.O., ZAGREB
P.G.P. D.O.O., ZAGREB</v>
      </c>
      <c r="I2239" s="2"/>
      <c r="J2239" s="1"/>
      <c r="K2239" s="1" t="s">
        <v>607</v>
      </c>
    </row>
    <row r="2240" spans="1:11" ht="94.5" x14ac:dyDescent="0.25">
      <c r="A2240" s="1" t="str">
        <f>"829/2014"</f>
        <v>829/2014</v>
      </c>
      <c r="B2240" s="1" t="s">
        <v>136</v>
      </c>
      <c r="C2240" s="1" t="s">
        <v>1019</v>
      </c>
      <c r="D2240" s="1" t="str">
        <f t="shared" si="21"/>
        <v>Z-2014-14
2014/S 002-0038839 od 12.08.2014.</v>
      </c>
      <c r="E2240" s="1" t="s">
        <v>366</v>
      </c>
      <c r="F2240" s="1" t="str">
        <f>"8.505.490,00"</f>
        <v>8.505.490,00</v>
      </c>
      <c r="G2240" s="1" t="str">
        <f t="shared" si="22"/>
        <v>07.11.2014.
4 godine</v>
      </c>
      <c r="H2240" s="1" t="str">
        <f>CONCATENATE("1. Zajednica ponuditelja: ",CHAR(10),"    NISKOGRADNJA SESVETE D.O.O., SESVETE",CHAR(10),"    TURKOVIĆ D.O.O., VELIKA GORICA",CHAR(10),"    OBRT ZA PRIJEVOZ VL. MARIJAN BARIĆ, DONJA BISTRA")</f>
        <v>1. Zajednica ponuditelja: 
    NISKOGRADNJA SESVETE D.O.O., SESVETE
    TURKOVIĆ D.O.O., VELIKA GORICA
    OBRT ZA PRIJEVOZ VL. MARIJAN BARIĆ, DONJA BISTRA</v>
      </c>
      <c r="I2240" s="2"/>
      <c r="J2240" s="1"/>
      <c r="K2240" s="1" t="s">
        <v>607</v>
      </c>
    </row>
    <row r="2241" spans="1:11" ht="173.25" x14ac:dyDescent="0.25">
      <c r="A2241" s="1" t="str">
        <f>"830/2014"</f>
        <v>830/2014</v>
      </c>
      <c r="B2241" s="1" t="s">
        <v>136</v>
      </c>
      <c r="C2241" s="1" t="s">
        <v>1020</v>
      </c>
      <c r="D2241" s="1" t="str">
        <f t="shared" si="21"/>
        <v>Z-2014-14
2014/S 002-0038839 od 12.08.2014.</v>
      </c>
      <c r="E2241" s="1" t="s">
        <v>366</v>
      </c>
      <c r="F2241" s="1" t="str">
        <f>"17.988.460,00"</f>
        <v>17.988.460,00</v>
      </c>
      <c r="G2241" s="1" t="str">
        <f t="shared" si="22"/>
        <v>07.11.2014.
4 godine</v>
      </c>
      <c r="H2241" s="1" t="str">
        <f>CONCATENATE("1. Zajednica ponuditelja: ",CHAR(10),"    I.B. JAZBINA, ZAGREB",CHAR(10),"    AUTOPRIJEVOZNIČKI I USLUŽNI OBRT VL. ZVONIMIR RADOEVIĆ, ZAGREB",CHAR(10),"    AUTOPRIJEVOZ I USLUGE GRAĐEVINSKOM MEHANIZACIJOM GODEC VL. STJEPAN GODEC, SESVETE",CHAR(10),"    AUTOPRIJEVOZNIK I USLUGE GRAĐEVINSKOM MEHANIZACIJOM VL. ŽELJKO SMOLKOVIĆ, ZAGREB")</f>
        <v>1. Zajednica ponuditelja: 
    I.B. JAZBINA, ZAGREB
    AUTOPRIJEVOZNIČKI I USLUŽNI OBRT VL. ZVONIMIR RADOEVIĆ, ZAGREB
    AUTOPRIJEVOZ I USLUGE GRAĐEVINSKOM MEHANIZACIJOM GODEC VL. STJEPAN GODEC, SESVETE
    AUTOPRIJEVOZNIK I USLUGE GRAĐEVINSKOM MEHANIZACIJOM VL. ŽELJKO SMOLKOVIĆ, ZAGREB</v>
      </c>
      <c r="I2241" s="2"/>
      <c r="J2241" s="1"/>
      <c r="K2241" s="1" t="s">
        <v>607</v>
      </c>
    </row>
    <row r="2242" spans="1:11" ht="78.75" x14ac:dyDescent="0.25">
      <c r="A2242" s="1" t="str">
        <f>"831/2014"</f>
        <v>831/2014</v>
      </c>
      <c r="B2242" s="1" t="s">
        <v>136</v>
      </c>
      <c r="C2242" s="1" t="s">
        <v>1021</v>
      </c>
      <c r="D2242" s="1" t="str">
        <f t="shared" si="21"/>
        <v>Z-2014-14
2014/S 002-0038839 od 12.08.2014.</v>
      </c>
      <c r="E2242" s="1" t="s">
        <v>366</v>
      </c>
      <c r="F2242" s="1" t="str">
        <f>"9.430.510,00"</f>
        <v>9.430.510,00</v>
      </c>
      <c r="G2242" s="1" t="str">
        <f t="shared" si="22"/>
        <v>07.11.2014.
4 godine</v>
      </c>
      <c r="H2242" s="1" t="str">
        <f>CONCATENATE("1. Zajednica ponuditelja: ",CHAR(10),"    GAJANT D.O.O., ZAGREB",CHAR(10),"    BEŠIĆ - PROM D.O.O., ZAGREB",CHAR(10),"    VIB OBRT ZA PRIJEVOZ I USLUGE VL. VELIMIR ŠANTOLIĆ, ZAGREB")</f>
        <v>1. Zajednica ponuditelja: 
    GAJANT D.O.O., ZAGREB
    BEŠIĆ - PROM D.O.O., ZAGREB
    VIB OBRT ZA PRIJEVOZ I USLUGE VL. VELIMIR ŠANTOLIĆ, ZAGREB</v>
      </c>
      <c r="I2242" s="2"/>
      <c r="J2242" s="1"/>
      <c r="K2242" s="1" t="s">
        <v>607</v>
      </c>
    </row>
    <row r="2243" spans="1:11" ht="47.25" x14ac:dyDescent="0.25">
      <c r="A2243" s="1" t="str">
        <f>"832/2014"</f>
        <v>832/2014</v>
      </c>
      <c r="B2243" s="1" t="s">
        <v>136</v>
      </c>
      <c r="C2243" s="1" t="s">
        <v>1022</v>
      </c>
      <c r="D2243" s="1" t="str">
        <f t="shared" si="21"/>
        <v>Z-2014-14
2014/S 002-0038839 od 12.08.2014.</v>
      </c>
      <c r="E2243" s="1" t="s">
        <v>366</v>
      </c>
      <c r="F2243" s="1" t="str">
        <f>"11.573.200,00"</f>
        <v>11.573.200,00</v>
      </c>
      <c r="G2243" s="1" t="str">
        <f>CONCATENATE("12.11.2014.",CHAR(10),"4 godine")</f>
        <v>12.11.2014.
4 godine</v>
      </c>
      <c r="H2243" s="1" t="str">
        <f>CONCATENATE("GIP PIONIR D.O.O., ZAGREB")</f>
        <v>GIP PIONIR D.O.O., ZAGREB</v>
      </c>
      <c r="I2243" s="2"/>
      <c r="J2243" s="1"/>
      <c r="K2243" s="1" t="s">
        <v>607</v>
      </c>
    </row>
    <row r="2244" spans="1:11" ht="78.75" x14ac:dyDescent="0.25">
      <c r="A2244" s="1" t="str">
        <f>"833/2014"</f>
        <v>833/2014</v>
      </c>
      <c r="B2244" s="1" t="s">
        <v>136</v>
      </c>
      <c r="C2244" s="1" t="s">
        <v>1023</v>
      </c>
      <c r="D2244" s="1" t="str">
        <f t="shared" si="21"/>
        <v>Z-2014-14
2014/S 002-0038839 od 12.08.2014.</v>
      </c>
      <c r="E2244" s="1" t="s">
        <v>366</v>
      </c>
      <c r="F2244" s="1" t="str">
        <f>"31.997.980,00"</f>
        <v>31.997.980,00</v>
      </c>
      <c r="G2244" s="1" t="str">
        <f>CONCATENATE("07.11.2014.",CHAR(10),"4 godine")</f>
        <v>07.11.2014.
4 godine</v>
      </c>
      <c r="H2244" s="1" t="str">
        <f>CONCATENATE("1. Zajednica ponuditelja: ",CHAR(10),"    VODOPRIVREDA ZAGREB D.D., ZAGREB",CHAR(10),"    POLJO-PROM TRGOVINA I USLUGE, VL. ZLATKO KRIŽANIĆ, ZAGREB")</f>
        <v>1. Zajednica ponuditelja: 
    VODOPRIVREDA ZAGREB D.D., ZAGREB
    POLJO-PROM TRGOVINA I USLUGE, VL. ZLATKO KRIŽANIĆ, ZAGREB</v>
      </c>
      <c r="I2244" s="2"/>
      <c r="J2244" s="1"/>
      <c r="K2244" s="1" t="s">
        <v>607</v>
      </c>
    </row>
    <row r="2245" spans="1:11" ht="47.25" x14ac:dyDescent="0.25">
      <c r="A2245" s="1" t="str">
        <f>"834/2014"</f>
        <v>834/2014</v>
      </c>
      <c r="B2245" s="1" t="s">
        <v>136</v>
      </c>
      <c r="C2245" s="1" t="s">
        <v>1024</v>
      </c>
      <c r="D2245" s="1" t="str">
        <f t="shared" si="21"/>
        <v>Z-2014-14
2014/S 002-0038839 od 12.08.2014.</v>
      </c>
      <c r="E2245" s="1" t="s">
        <v>366</v>
      </c>
      <c r="F2245" s="1" t="str">
        <f>"7.840.000,00"</f>
        <v>7.840.000,00</v>
      </c>
      <c r="G2245" s="1" t="str">
        <f>CONCATENATE("07.11.2014.",CHAR(10)," 4 godine")</f>
        <v>07.11.2014.
 4 godine</v>
      </c>
      <c r="H2245" s="1" t="str">
        <f>CONCATENATE("NERING D.O.O., SESVETE")</f>
        <v>NERING D.O.O., SESVETE</v>
      </c>
      <c r="I2245" s="2"/>
      <c r="J2245" s="1"/>
      <c r="K2245" s="1" t="s">
        <v>607</v>
      </c>
    </row>
    <row r="2246" spans="1:11" ht="47.25" x14ac:dyDescent="0.25">
      <c r="A2246" s="1" t="str">
        <f>"835/2014"</f>
        <v>835/2014</v>
      </c>
      <c r="B2246" s="1" t="s">
        <v>14</v>
      </c>
      <c r="C2246" s="1" t="s">
        <v>1025</v>
      </c>
      <c r="D2246" s="1" t="str">
        <f>CONCATENATE("1274-2014-EMV",CHAR(10),"2014/S-002-0033910 od 11.07.2014.")</f>
        <v>1274-2014-EMV
2014/S-002-0033910 od 11.07.2014.</v>
      </c>
      <c r="E2246" s="1" t="s">
        <v>15</v>
      </c>
      <c r="F2246" s="1" t="str">
        <f>"829.930,00"</f>
        <v>829.930,00</v>
      </c>
      <c r="G2246" s="1" t="str">
        <f>CONCATENATE("06.11.2014.",CHAR(10),"120 dana od dana uvođenja u posao")</f>
        <v>06.11.2014.
120 dana od dana uvođenja u posao</v>
      </c>
      <c r="H2246" s="1" t="str">
        <f>CONCATENATE("1. Zajednica ponuditelja: ",CHAR(10),"    WERKOS D.O.O., OSIJEK",CHAR(10),"    MONTE-MONT D.O.O., OSIJEK")</f>
        <v>1. Zajednica ponuditelja: 
    WERKOS D.O.O., OSIJEK
    MONTE-MONT D.O.O., OSIJEK</v>
      </c>
      <c r="I2246" s="2"/>
      <c r="J2246" s="1"/>
      <c r="K2246" s="2"/>
    </row>
    <row r="2247" spans="1:11" ht="47.25" x14ac:dyDescent="0.25">
      <c r="A2247" s="1" t="str">
        <f>"836/2014"</f>
        <v>836/2014</v>
      </c>
      <c r="B2247" s="1" t="s">
        <v>14</v>
      </c>
      <c r="C2247" s="1" t="s">
        <v>1026</v>
      </c>
      <c r="D2247" s="1" t="str">
        <f>CONCATENATE("2014-2121",CHAR(10),"2014/S 002-0042209 od 09.09.2014.")</f>
        <v>2014-2121
2014/S 002-0042209 od 09.09.2014.</v>
      </c>
      <c r="E2247" s="1" t="s">
        <v>15</v>
      </c>
      <c r="F2247" s="1" t="str">
        <f>"792.982,00"</f>
        <v>792.982,00</v>
      </c>
      <c r="G2247" s="1" t="str">
        <f>CONCATENATE("11.11.2014.",CHAR(10),"150 dana od dana uvođenja u posao")</f>
        <v>11.11.2014.
150 dana od dana uvođenja u posao</v>
      </c>
      <c r="H2247" s="1" t="str">
        <f>CONCATENATE("1. Zajednica ponuditelja: ",CHAR(10),"    GUT D.O.O., ZAGREB",CHAR(10),"    NI-AL D.O.O., VELIKA GORICA")</f>
        <v>1. Zajednica ponuditelja: 
    GUT D.O.O., ZAGREB
    NI-AL D.O.O., VELIKA GORICA</v>
      </c>
      <c r="I2247" s="2"/>
      <c r="J2247" s="1"/>
      <c r="K2247" s="1" t="s">
        <v>607</v>
      </c>
    </row>
    <row r="2248" spans="1:11" ht="47.25" x14ac:dyDescent="0.25">
      <c r="A2248" s="1" t="str">
        <f>"837/2014"</f>
        <v>837/2014</v>
      </c>
      <c r="B2248" s="1" t="s">
        <v>14</v>
      </c>
      <c r="C2248" s="1" t="s">
        <v>1027</v>
      </c>
      <c r="D2248" s="1" t="str">
        <f>CONCATENATE("2014-280",CHAR(10),"2014/S 002-0037822 od 04.08.2014.")</f>
        <v>2014-280
2014/S 002-0037822 od 04.08.2014.</v>
      </c>
      <c r="E2248" s="1" t="s">
        <v>15</v>
      </c>
      <c r="F2248" s="1" t="str">
        <f>"209.020,00"</f>
        <v>209.020,00</v>
      </c>
      <c r="G2248" s="1" t="str">
        <f>CONCATENATE("11.11.2014.",CHAR(10),"1 godina od dana nastanka ugovornog odnosa")</f>
        <v>11.11.2014.
1 godina od dana nastanka ugovornog odnosa</v>
      </c>
      <c r="H2248" s="1" t="str">
        <f>CONCATENATE("VODOSKOK D.D., ZAGREB")</f>
        <v>VODOSKOK D.D., ZAGREB</v>
      </c>
      <c r="I2248" s="2"/>
      <c r="J2248" s="1"/>
      <c r="K2248" s="1" t="s">
        <v>607</v>
      </c>
    </row>
    <row r="2249" spans="1:11" ht="47.25" x14ac:dyDescent="0.25">
      <c r="A2249" s="1" t="str">
        <f>"838/2014"</f>
        <v>838/2014</v>
      </c>
      <c r="B2249" s="1" t="s">
        <v>14</v>
      </c>
      <c r="C2249" s="1" t="s">
        <v>1028</v>
      </c>
      <c r="D2249" s="1" t="str">
        <f>CONCATENATE("2014-2316",CHAR(10),"2014/S 002-0031428 od 27.06.2014.")</f>
        <v>2014-2316
2014/S 002-0031428 od 27.06.2014.</v>
      </c>
      <c r="E2249" s="1" t="s">
        <v>15</v>
      </c>
      <c r="F2249" s="1" t="str">
        <f>"2.182.488,00"</f>
        <v>2.182.488,00</v>
      </c>
      <c r="G2249" s="1" t="str">
        <f>CONCATENATE("11.11.2014.",CHAR(10),"1 godina od dana potpisa Ugovora")</f>
        <v>11.11.2014.
1 godina od dana potpisa Ugovora</v>
      </c>
      <c r="H2249" s="1" t="str">
        <f>CONCATENATE("IKOM D.O.O., ZAGREB-SUSEDGRAD")</f>
        <v>IKOM D.O.O., ZAGREB-SUSEDGRAD</v>
      </c>
      <c r="I2249" s="2"/>
      <c r="J2249" s="1"/>
      <c r="K2249" s="1" t="s">
        <v>607</v>
      </c>
    </row>
    <row r="2250" spans="1:11" ht="47.25" x14ac:dyDescent="0.25">
      <c r="A2250" s="1" t="str">
        <f>"839/2014"</f>
        <v>839/2014</v>
      </c>
      <c r="B2250" s="1" t="s">
        <v>14</v>
      </c>
      <c r="C2250" s="1" t="s">
        <v>1029</v>
      </c>
      <c r="D2250" s="1" t="str">
        <f>CONCATENATE("2528-2014-EMV",CHAR(10),"2014/S 002-0034617 od 16.07.2014.")</f>
        <v>2528-2014-EMV
2014/S 002-0034617 od 16.07.2014.</v>
      </c>
      <c r="E2250" s="1" t="s">
        <v>15</v>
      </c>
      <c r="F2250" s="1" t="str">
        <f>"593.275,40"</f>
        <v>593.275,40</v>
      </c>
      <c r="G2250" s="1" t="str">
        <f>CONCATENATE("11.11.2014.",CHAR(10),"12 mjeseci od dana uvođenja u posao")</f>
        <v>11.11.2014.
12 mjeseci od dana uvođenja u posao</v>
      </c>
      <c r="H2250" s="1" t="str">
        <f>CONCATENATE("HIDROSTRES D.O.O., ZAGREB")</f>
        <v>HIDROSTRES D.O.O., ZAGREB</v>
      </c>
      <c r="I2250" s="2"/>
      <c r="J2250" s="1"/>
      <c r="K2250" s="2"/>
    </row>
    <row r="2251" spans="1:11" ht="47.25" x14ac:dyDescent="0.25">
      <c r="A2251" s="1" t="str">
        <f>"840/2014"</f>
        <v>840/2014</v>
      </c>
      <c r="B2251" s="1" t="s">
        <v>26</v>
      </c>
      <c r="C2251" s="1" t="s">
        <v>1030</v>
      </c>
      <c r="D2251" s="1" t="str">
        <f>"2014-1569"</f>
        <v>2014-1569</v>
      </c>
      <c r="E2251" s="2"/>
      <c r="F2251" s="1" t="str">
        <f>"28.008.095,69"</f>
        <v>28.008.095,69</v>
      </c>
      <c r="G2251" s="1" t="str">
        <f>CONCATENATE("11.11.2014.",CHAR(10),"28.02.2015")</f>
        <v>11.11.2014.
28.02.2015</v>
      </c>
      <c r="H2251" s="1" t="str">
        <f>CONCATENATE("ELECTUS DGS D.O.O., ZAGREB")</f>
        <v>ELECTUS DGS D.O.O., ZAGREB</v>
      </c>
      <c r="I2251" s="1" t="s">
        <v>748</v>
      </c>
      <c r="J2251" s="1" t="str">
        <f>SUBSTITUTE(SUBSTITUTE(SUBSTITUTE("20,198,547.10",".","-"),",","."),"-",",")</f>
        <v>20.198.547,10</v>
      </c>
      <c r="K2251" s="1" t="s">
        <v>607</v>
      </c>
    </row>
    <row r="2252" spans="1:11" ht="47.25" x14ac:dyDescent="0.25">
      <c r="A2252" s="1" t="str">
        <f>"841/2014"</f>
        <v>841/2014</v>
      </c>
      <c r="B2252" s="1" t="s">
        <v>26</v>
      </c>
      <c r="C2252" s="1" t="s">
        <v>1031</v>
      </c>
      <c r="D2252" s="1" t="str">
        <f>"2014-55"</f>
        <v>2014-55</v>
      </c>
      <c r="E2252" s="2"/>
      <c r="F2252" s="1" t="str">
        <f>"6.720,00"</f>
        <v>6.720,00</v>
      </c>
      <c r="G2252" s="1" t="str">
        <f>CONCATENATE("11.11.2014.",CHAR(10),"31.03.2015")</f>
        <v>11.11.2014.
31.03.2015</v>
      </c>
      <c r="H2252" s="1" t="str">
        <f>CONCATENATE("MESSER CROATIA PLIN D.O.O., ZAPREŠIĆ")</f>
        <v>MESSER CROATIA PLIN D.O.O., ZAPREŠIĆ</v>
      </c>
      <c r="I2252" s="2"/>
      <c r="J2252" s="1"/>
      <c r="K2252" s="1" t="s">
        <v>607</v>
      </c>
    </row>
    <row r="2253" spans="1:11" ht="47.25" x14ac:dyDescent="0.25">
      <c r="A2253" s="1" t="str">
        <f>"842/2014"</f>
        <v>842/2014</v>
      </c>
      <c r="B2253" s="1" t="s">
        <v>136</v>
      </c>
      <c r="C2253" s="1" t="s">
        <v>1032</v>
      </c>
      <c r="D2253" s="1" t="str">
        <f>CONCATENATE("2014-2535",CHAR(10),"2014/S 002-0039725 od 21.08.2014.")</f>
        <v>2014-2535
2014/S 002-0039725 od 21.08.2014.</v>
      </c>
      <c r="E2253" s="1" t="s">
        <v>366</v>
      </c>
      <c r="F2253" s="1" t="str">
        <f>"3.560.000,00"</f>
        <v>3.560.000,00</v>
      </c>
      <c r="G2253" s="1" t="str">
        <f>CONCATENATE("11.11.2014.",CHAR(10),"2 godine")</f>
        <v>11.11.2014.
2 godine</v>
      </c>
      <c r="H2253" s="1" t="str">
        <f>CONCATENATE("I.B. JAZBINA, ZAGREB")</f>
        <v>I.B. JAZBINA, ZAGREB</v>
      </c>
      <c r="I2253" s="2"/>
      <c r="J2253" s="1"/>
      <c r="K2253" s="1" t="s">
        <v>607</v>
      </c>
    </row>
    <row r="2254" spans="1:11" ht="126" x14ac:dyDescent="0.25">
      <c r="A2254" s="1" t="str">
        <f>"843/2014"</f>
        <v>843/2014</v>
      </c>
      <c r="B2254" s="1" t="s">
        <v>136</v>
      </c>
      <c r="C2254" s="1" t="s">
        <v>1033</v>
      </c>
      <c r="D2254" s="1" t="str">
        <f>CONCATENATE("2014-2377",CHAR(10),"2014/S 002-0037173 od 31.07.2014.")</f>
        <v>2014-2377
2014/S 002-0037173 od 31.07.2014.</v>
      </c>
      <c r="E2254" s="1" t="s">
        <v>366</v>
      </c>
      <c r="F2254" s="1" t="str">
        <f>"10.028.370,00"</f>
        <v>10.028.370,00</v>
      </c>
      <c r="G2254" s="1" t="str">
        <f>CONCATENATE("11.11.2014.",CHAR(10),"2 godine")</f>
        <v>11.11.2014.
2 godine</v>
      </c>
      <c r="H2254" s="1" t="str">
        <f>CONCATENATE("1. PNEUMATIK D.O.O., ZAGREB",CHAR(10),"2. VULKAL D.O.O., ZAGREB",CHAR(10),"3. Zajednica ponuditelja: ",CHAR(10),"    AUTO HRVATSKA AUTODIJELOVI D.O.O., ZAGREB",CHAR(10),"    AUTO HRVATSKA PRODAJNO SERVISNI CENTRI D.O.O., HRVATSKI LESKOVAC")</f>
        <v>1. PNEUMATIK D.O.O., ZAGREB
2. VULKAL D.O.O., ZAGREB
3. Zajednica ponuditelja: 
    AUTO HRVATSKA AUTODIJELOVI D.O.O., ZAGREB
    AUTO HRVATSKA PRODAJNO SERVISNI CENTRI D.O.O., HRVATSKI LESKOVAC</v>
      </c>
      <c r="I2254" s="2"/>
      <c r="J2254" s="1"/>
      <c r="K2254" s="1" t="s">
        <v>607</v>
      </c>
    </row>
    <row r="2255" spans="1:11" ht="220.5" x14ac:dyDescent="0.25">
      <c r="A2255" s="1" t="str">
        <f>"844/2014"</f>
        <v>844/2014</v>
      </c>
      <c r="B2255" s="1" t="s">
        <v>136</v>
      </c>
      <c r="C2255" s="1" t="s">
        <v>2871</v>
      </c>
      <c r="D2255" s="1" t="str">
        <f>CONCATENATE("2014-2461",CHAR(10),"2014/S 002-0040054 od 25.08.2014.")</f>
        <v>2014-2461
2014/S 002-0040054 od 25.08.2014.</v>
      </c>
      <c r="E2255" s="1" t="s">
        <v>366</v>
      </c>
      <c r="F2255" s="1" t="str">
        <f>"353.234,65"</f>
        <v>353.234,65</v>
      </c>
      <c r="G2255" s="1" t="str">
        <f>CONCATENATE("11.11.2014.",CHAR(10),"2 godine")</f>
        <v>11.11.2014.
2 godine</v>
      </c>
      <c r="H2255" s="1" t="str">
        <f>CONCATENATE("M.B. AUTO D.O.O., ZAGREB")</f>
        <v>M.B. AUTO D.O.O., ZAGREB</v>
      </c>
      <c r="I2255" s="2"/>
      <c r="J2255" s="1"/>
      <c r="K2255" s="1" t="s">
        <v>607</v>
      </c>
    </row>
    <row r="2256" spans="1:11" ht="47.25" x14ac:dyDescent="0.25">
      <c r="A2256" s="1" t="str">
        <f>"845/2014"</f>
        <v>845/2014</v>
      </c>
      <c r="B2256" s="1" t="s">
        <v>14</v>
      </c>
      <c r="C2256" s="1" t="s">
        <v>1034</v>
      </c>
      <c r="D2256" s="1" t="str">
        <f>CONCATENATE("774-2014-EBV",CHAR(10),"2014/S 015-0054415 od 26.11.2014.")</f>
        <v>774-2014-EBV
2014/S 015-0054415 od 26.11.2014.</v>
      </c>
      <c r="E2256" s="1" t="s">
        <v>12</v>
      </c>
      <c r="F2256" s="1" t="str">
        <f>"194.000,04"</f>
        <v>194.000,04</v>
      </c>
      <c r="G2256" s="1" t="str">
        <f>CONCATENATE("11.11.2014.",CHAR(10),"3 mjeseca od dana uvođenja u posao")</f>
        <v>11.11.2014.
3 mjeseca od dana uvođenja u posao</v>
      </c>
      <c r="H2256" s="1" t="str">
        <f>CONCATENATE("GRADNJAPROJEKT- ZAGREB D.O.O., ZAGREB")</f>
        <v>GRADNJAPROJEKT- ZAGREB D.O.O., ZAGREB</v>
      </c>
      <c r="I2256" s="2"/>
      <c r="J2256" s="1"/>
      <c r="K2256" s="2"/>
    </row>
    <row r="2257" spans="1:11" ht="110.25" x14ac:dyDescent="0.25">
      <c r="A2257" s="1" t="str">
        <f>"A-129/2014"</f>
        <v>A-129/2014</v>
      </c>
      <c r="B2257" s="1" t="s">
        <v>11</v>
      </c>
      <c r="C2257" s="1" t="s">
        <v>1035</v>
      </c>
      <c r="D2257" s="1" t="str">
        <f>"1946-2013-EMV"</f>
        <v>1946-2013-EMV</v>
      </c>
      <c r="E2257" s="2"/>
      <c r="F2257" s="1" t="str">
        <f>"0,00"</f>
        <v>0,00</v>
      </c>
      <c r="G2257" s="1" t="str">
        <f>CONCATENATE("11.11.2014.",CHAR(10),"30.11.2014")</f>
        <v>11.11.2014.
30.11.2014</v>
      </c>
      <c r="H2257" s="1" t="str">
        <f>CONCATENATE("1. Zajednica ponuditelja: ",CHAR(10),"    ARHINGTRADE D.O.O., ZAGREB",CHAR(10),"    HVAT D.O.O., SAMOBOR")</f>
        <v>1. Zajednica ponuditelja: 
    ARHINGTRADE D.O.O., ZAGREB
    HVAT D.O.O., SAMOBOR</v>
      </c>
      <c r="I2257" s="2"/>
      <c r="J2257" s="1"/>
      <c r="K2257" s="2"/>
    </row>
    <row r="2258" spans="1:11" ht="47.25" x14ac:dyDescent="0.25">
      <c r="A2258" s="1" t="str">
        <f>"846/2014"</f>
        <v>846/2014</v>
      </c>
      <c r="B2258" s="1" t="s">
        <v>14</v>
      </c>
      <c r="C2258" s="1" t="s">
        <v>1036</v>
      </c>
      <c r="D2258" s="1" t="str">
        <f>CONCATENATE("2014-1909",CHAR(10),"2014/S 002-0036284 od 25.07.2014.")</f>
        <v>2014-1909
2014/S 002-0036284 od 25.07.2014.</v>
      </c>
      <c r="E2258" s="1" t="s">
        <v>15</v>
      </c>
      <c r="F2258" s="1" t="str">
        <f>"224.800,00"</f>
        <v>224.800,00</v>
      </c>
      <c r="G2258" s="1" t="str">
        <f>CONCATENATE("11.11.2014.",CHAR(10),"1 godina od dana potpisa Ugovora")</f>
        <v>11.11.2014.
1 godina od dana potpisa Ugovora</v>
      </c>
      <c r="H2258" s="1" t="str">
        <f>CONCATENATE("ELOB D.O.O., ZAGREB")</f>
        <v>ELOB D.O.O., ZAGREB</v>
      </c>
      <c r="I2258" s="2"/>
      <c r="J2258" s="1"/>
      <c r="K2258" s="1" t="s">
        <v>607</v>
      </c>
    </row>
    <row r="2259" spans="1:11" ht="31.5" x14ac:dyDescent="0.25">
      <c r="A2259" s="1" t="str">
        <f>"A-130/2014"</f>
        <v>A-130/2014</v>
      </c>
      <c r="B2259" s="1" t="s">
        <v>11</v>
      </c>
      <c r="C2259" s="1" t="s">
        <v>1037</v>
      </c>
      <c r="D2259" s="1" t="str">
        <f>"2831-2013-EMV"</f>
        <v>2831-2013-EMV</v>
      </c>
      <c r="E2259" s="2"/>
      <c r="F2259" s="1" t="str">
        <f>"0,00"</f>
        <v>0,00</v>
      </c>
      <c r="G2259" s="1" t="str">
        <f>CONCATENATE("11.11.2014.",CHAR(10),"11.12.2014")</f>
        <v>11.11.2014.
11.12.2014</v>
      </c>
      <c r="H2259" s="1" t="str">
        <f>CONCATENATE("ING EKSPERT D.O.O., ZAGREB")</f>
        <v>ING EKSPERT D.O.O., ZAGREB</v>
      </c>
      <c r="I2259" s="2"/>
      <c r="J2259" s="1"/>
      <c r="K2259" s="2"/>
    </row>
    <row r="2260" spans="1:11" ht="94.5" x14ac:dyDescent="0.25">
      <c r="A2260" s="1" t="str">
        <f>"A-131/2014"</f>
        <v>A-131/2014</v>
      </c>
      <c r="B2260" s="1" t="s">
        <v>11</v>
      </c>
      <c r="C2260" s="1" t="s">
        <v>1038</v>
      </c>
      <c r="D2260" s="1" t="str">
        <f>"1945-2013-EMV"</f>
        <v>1945-2013-EMV</v>
      </c>
      <c r="E2260" s="2"/>
      <c r="F2260" s="1" t="str">
        <f>"0,00"</f>
        <v>0,00</v>
      </c>
      <c r="G2260" s="1" t="str">
        <f>CONCATENATE("11.11.2014.",CHAR(10),"30.11.2014")</f>
        <v>11.11.2014.
30.11.2014</v>
      </c>
      <c r="H2260" s="1" t="str">
        <f>CONCATENATE("1. Zajednica ponuditelja: ",CHAR(10),"    ARHINGTRADE D.O.O., ZAGREB",CHAR(10),"    HVAT D.O.O., SAMOBOR")</f>
        <v>1. Zajednica ponuditelja: 
    ARHINGTRADE D.O.O., ZAGREB
    HVAT D.O.O., SAMOBOR</v>
      </c>
      <c r="I2260" s="2"/>
      <c r="J2260" s="1"/>
      <c r="K2260" s="2"/>
    </row>
    <row r="2261" spans="1:11" ht="63" x14ac:dyDescent="0.25">
      <c r="A2261" s="1" t="str">
        <f>"A-132/2014"</f>
        <v>A-132/2014</v>
      </c>
      <c r="B2261" s="1" t="s">
        <v>11</v>
      </c>
      <c r="C2261" s="1" t="s">
        <v>1039</v>
      </c>
      <c r="D2261" s="1" t="str">
        <f>"2737-2013-EMV"</f>
        <v>2737-2013-EMV</v>
      </c>
      <c r="E2261" s="2"/>
      <c r="F2261" s="1" t="str">
        <f>"0,00"</f>
        <v>0,00</v>
      </c>
      <c r="G2261" s="1" t="str">
        <f>CONCATENATE("11.11.2014.",CHAR(10),"20.12.2014")</f>
        <v>11.11.2014.
20.12.2014</v>
      </c>
      <c r="H2261" s="1" t="str">
        <f>CONCATENATE("1. Zajednica ponuditelja: ",CHAR(10),"    TEH-GRADNJA D.O.O., ZAGREB",CHAR(10),"    GEOANDA D.O.O., ZAGREB",CHAR(10),"    C.I.A.K. D.O.O., ZAGREB")</f>
        <v>1. Zajednica ponuditelja: 
    TEH-GRADNJA D.O.O., ZAGREB
    GEOANDA D.O.O., ZAGREB
    C.I.A.K. D.O.O., ZAGREB</v>
      </c>
      <c r="I2261" s="2"/>
      <c r="J2261" s="1"/>
      <c r="K2261" s="2"/>
    </row>
    <row r="2262" spans="1:11" ht="47.25" x14ac:dyDescent="0.25">
      <c r="A2262" s="1" t="str">
        <f>"847/2014"</f>
        <v>847/2014</v>
      </c>
      <c r="B2262" s="1" t="s">
        <v>14</v>
      </c>
      <c r="C2262" s="1" t="s">
        <v>2872</v>
      </c>
      <c r="D2262" s="1" t="str">
        <f>CONCATENATE("2014-2151",CHAR(10),"2014/S 002-0037026 od 30.07.2014.")</f>
        <v>2014-2151
2014/S 002-0037026 od 30.07.2014.</v>
      </c>
      <c r="E2262" s="1" t="s">
        <v>15</v>
      </c>
      <c r="F2262" s="1" t="str">
        <f>"995.600,00"</f>
        <v>995.600,00</v>
      </c>
      <c r="G2262" s="1" t="str">
        <f>CONCATENATE("12.11.2014.",CHAR(10),"1 godina")</f>
        <v>12.11.2014.
1 godina</v>
      </c>
      <c r="H2262" s="1" t="str">
        <f>CONCATENATE("TERRA JASKA D.O.O., STRMEC SAMOBORSKI")</f>
        <v>TERRA JASKA D.O.O., STRMEC SAMOBORSKI</v>
      </c>
      <c r="I2262" s="2"/>
      <c r="J2262" s="1"/>
      <c r="K2262" s="1" t="s">
        <v>607</v>
      </c>
    </row>
    <row r="2263" spans="1:11" ht="47.25" x14ac:dyDescent="0.25">
      <c r="A2263" s="1" t="str">
        <f>"848/2014"</f>
        <v>848/2014</v>
      </c>
      <c r="B2263" s="1" t="s">
        <v>14</v>
      </c>
      <c r="C2263" s="1" t="s">
        <v>2873</v>
      </c>
      <c r="D2263" s="1" t="str">
        <f>CONCATENATE("2014-2151",CHAR(10),"2014/S 002-0037026 od 30.07.2014.")</f>
        <v>2014-2151
2014/S 002-0037026 od 30.07.2014.</v>
      </c>
      <c r="E2263" s="1" t="s">
        <v>15</v>
      </c>
      <c r="F2263" s="1" t="str">
        <f>"2.951.200,00"</f>
        <v>2.951.200,00</v>
      </c>
      <c r="G2263" s="1" t="str">
        <f>CONCATENATE("12.11.2014.",CHAR(10),"1 godina")</f>
        <v>12.11.2014.
1 godina</v>
      </c>
      <c r="H2263" s="1" t="str">
        <f>CONCATENATE("RO-TEHNOLOGIJA D.O.O., OPATIJA")</f>
        <v>RO-TEHNOLOGIJA D.O.O., OPATIJA</v>
      </c>
      <c r="I2263" s="2"/>
      <c r="J2263" s="1"/>
      <c r="K2263" s="1" t="s">
        <v>607</v>
      </c>
    </row>
    <row r="2264" spans="1:11" ht="47.25" x14ac:dyDescent="0.25">
      <c r="A2264" s="1" t="str">
        <f>"851/2014"</f>
        <v>851/2014</v>
      </c>
      <c r="B2264" s="1" t="s">
        <v>136</v>
      </c>
      <c r="C2264" s="1" t="s">
        <v>1040</v>
      </c>
      <c r="D2264" s="1" t="str">
        <f>CONCATENATE("Z-2014-8",CHAR(10),"2014/S-002-0027963 od 05.06.2014.")</f>
        <v>Z-2014-8
2014/S-002-0027963 od 05.06.2014.</v>
      </c>
      <c r="E2264" s="1" t="s">
        <v>366</v>
      </c>
      <c r="F2264" s="1" t="str">
        <f>"3.601.009,05"</f>
        <v>3.601.009,05</v>
      </c>
      <c r="G2264" s="1" t="str">
        <f>CONCATENATE("07.11.2014.",CHAR(10),"1 godina")</f>
        <v>07.11.2014.
1 godina</v>
      </c>
      <c r="H2264" s="1" t="str">
        <f>CONCATENATE("MEDIA POLIS D.O.O., ZAGREB")</f>
        <v>MEDIA POLIS D.O.O., ZAGREB</v>
      </c>
      <c r="I2264" s="2"/>
      <c r="J2264" s="1"/>
      <c r="K2264" s="1" t="s">
        <v>607</v>
      </c>
    </row>
    <row r="2265" spans="1:11" ht="78.75" x14ac:dyDescent="0.25">
      <c r="A2265" s="1" t="str">
        <f>"852/2014"</f>
        <v>852/2014</v>
      </c>
      <c r="B2265" s="1" t="s">
        <v>136</v>
      </c>
      <c r="C2265" s="1" t="s">
        <v>2874</v>
      </c>
      <c r="D2265" s="1" t="str">
        <f>CONCATENATE("24-2014-EVV",CHAR(10),"2014/S-002-0032285 od 03.07.2014.")</f>
        <v>24-2014-EVV
2014/S-002-0032285 od 03.07.2014.</v>
      </c>
      <c r="E2265" s="1" t="s">
        <v>366</v>
      </c>
      <c r="F2265" s="1" t="str">
        <f>"2.981.634,36"</f>
        <v>2.981.634,36</v>
      </c>
      <c r="G2265" s="1" t="str">
        <f>CONCATENATE("17.11.2014.",CHAR(10),"2 godine")</f>
        <v>17.11.2014.
2 godine</v>
      </c>
      <c r="H2265" s="1" t="str">
        <f>CONCATENATE("EKOTOURS D.O.O., ZAGREB")</f>
        <v>EKOTOURS D.O.O., ZAGREB</v>
      </c>
      <c r="I2265" s="2"/>
      <c r="J2265" s="1"/>
      <c r="K2265" s="2"/>
    </row>
    <row r="2266" spans="1:11" ht="78.75" x14ac:dyDescent="0.25">
      <c r="A2266" s="1" t="str">
        <f>"853/2014"</f>
        <v>853/2014</v>
      </c>
      <c r="B2266" s="1" t="s">
        <v>136</v>
      </c>
      <c r="C2266" s="1" t="s">
        <v>2875</v>
      </c>
      <c r="D2266" s="1" t="str">
        <f>CONCATENATE("24-2014-EVV",CHAR(10),"2014/S-002-0032285 od 03.07.2014.")</f>
        <v>24-2014-EVV
2014/S-002-0032285 od 03.07.2014.</v>
      </c>
      <c r="E2266" s="1" t="s">
        <v>366</v>
      </c>
      <c r="F2266" s="1" t="str">
        <f>"1.531.914,56"</f>
        <v>1.531.914,56</v>
      </c>
      <c r="G2266" s="1" t="str">
        <f>CONCATENATE("18.11.2014.",CHAR(10),"2 godine")</f>
        <v>18.11.2014.
2 godine</v>
      </c>
      <c r="H2266" s="1" t="str">
        <f>CONCATENATE("EKO STANDARD D.O.O., ZAGREB")</f>
        <v>EKO STANDARD D.O.O., ZAGREB</v>
      </c>
      <c r="I2266" s="2"/>
      <c r="J2266" s="1"/>
      <c r="K2266" s="2"/>
    </row>
    <row r="2267" spans="1:11" ht="47.25" x14ac:dyDescent="0.25">
      <c r="A2267" s="1" t="str">
        <f>"854/2014"</f>
        <v>854/2014</v>
      </c>
      <c r="B2267" s="1" t="s">
        <v>136</v>
      </c>
      <c r="C2267" s="1" t="s">
        <v>2876</v>
      </c>
      <c r="D2267" s="1" t="str">
        <f>CONCATENATE("Z-2014-14",CHAR(10),"2014/S 002-0038839 od 12.08.2014.")</f>
        <v>Z-2014-14
2014/S 002-0038839 od 12.08.2014.</v>
      </c>
      <c r="E2267" s="1" t="s">
        <v>366</v>
      </c>
      <c r="F2267" s="1" t="str">
        <f>"24.591.590,00"</f>
        <v>24.591.590,00</v>
      </c>
      <c r="G2267" s="1" t="str">
        <f>CONCATENATE("07.11.2014.",CHAR(10),"4 godine")</f>
        <v>07.11.2014.
4 godine</v>
      </c>
      <c r="H2267" s="1" t="str">
        <f>CONCATENATE("DIJANEŽEVIĆ AUTOPRIJEVOZ I GRADNJA, VL. MIJO DIJANEŽEVIĆ, DONJA LOMNICA")</f>
        <v>DIJANEŽEVIĆ AUTOPRIJEVOZ I GRADNJA, VL. MIJO DIJANEŽEVIĆ, DONJA LOMNICA</v>
      </c>
      <c r="I2267" s="2"/>
      <c r="J2267" s="1"/>
      <c r="K2267" s="1" t="s">
        <v>607</v>
      </c>
    </row>
    <row r="2268" spans="1:11" ht="78.75" x14ac:dyDescent="0.25">
      <c r="A2268" s="1" t="str">
        <f>"855/2014"</f>
        <v>855/2014</v>
      </c>
      <c r="B2268" s="1" t="s">
        <v>136</v>
      </c>
      <c r="C2268" s="1" t="s">
        <v>2877</v>
      </c>
      <c r="D2268" s="1" t="str">
        <f>CONCATENATE("Z-2014-14",CHAR(10),"2014/S 002-0038839 od 12.08.2014.")</f>
        <v>Z-2014-14
2014/S 002-0038839 od 12.08.2014.</v>
      </c>
      <c r="E2268" s="1" t="s">
        <v>366</v>
      </c>
      <c r="F2268" s="1" t="str">
        <f>"11.649.480,00"</f>
        <v>11.649.480,00</v>
      </c>
      <c r="G2268" s="1" t="str">
        <f>CONCATENATE("07.11.2014.",CHAR(10),"4 godine")</f>
        <v>07.11.2014.
4 godine</v>
      </c>
      <c r="H2268" s="1" t="str">
        <f>CONCATENATE("1. Zajednica ponuditelja: ",CHAR(10),"    GRADITELJ SVRATIŠTA D.O.O., ZAGREB",CHAR(10),"    AUTOPRIJEVOZNIK ZLATKO TOMAŠINEC, ZAGREB")</f>
        <v>1. Zajednica ponuditelja: 
    GRADITELJ SVRATIŠTA D.O.O., ZAGREB
    AUTOPRIJEVOZNIK ZLATKO TOMAŠINEC, ZAGREB</v>
      </c>
      <c r="I2268" s="2"/>
      <c r="J2268" s="1"/>
      <c r="K2268" s="1" t="s">
        <v>607</v>
      </c>
    </row>
    <row r="2269" spans="1:11" ht="78.75" x14ac:dyDescent="0.25">
      <c r="A2269" s="1" t="str">
        <f>"856/2014"</f>
        <v>856/2014</v>
      </c>
      <c r="B2269" s="1" t="s">
        <v>136</v>
      </c>
      <c r="C2269" s="1" t="s">
        <v>2878</v>
      </c>
      <c r="D2269" s="1" t="str">
        <f>CONCATENATE("24-2014-EVV",CHAR(10),"2014/S-002-0032285 od 03.07.2014.")</f>
        <v>24-2014-EVV
2014/S-002-0032285 od 03.07.2014.</v>
      </c>
      <c r="E2269" s="1" t="s">
        <v>366</v>
      </c>
      <c r="F2269" s="1" t="str">
        <f>"1.749.593,36"</f>
        <v>1.749.593,36</v>
      </c>
      <c r="G2269" s="1" t="str">
        <f>CONCATENATE("17.11.2014.",CHAR(10),"2 godine")</f>
        <v>17.11.2014.
2 godine</v>
      </c>
      <c r="H2269" s="1" t="str">
        <f>CONCATENATE("ID EKO D.O.O., ZAGREB")</f>
        <v>ID EKO D.O.O., ZAGREB</v>
      </c>
      <c r="I2269" s="2"/>
      <c r="J2269" s="1"/>
      <c r="K2269" s="2"/>
    </row>
    <row r="2270" spans="1:11" ht="141.75" x14ac:dyDescent="0.25">
      <c r="A2270" s="1" t="str">
        <f>"857/2014"</f>
        <v>857/2014</v>
      </c>
      <c r="B2270" s="1" t="s">
        <v>136</v>
      </c>
      <c r="C2270" s="1" t="s">
        <v>2879</v>
      </c>
      <c r="D2270" s="1" t="str">
        <f>CONCATENATE("Z-2014-14",CHAR(10),"2014/S 002-0038839 od 12.08.2014.")</f>
        <v>Z-2014-14
2014/S 002-0038839 od 12.08.2014.</v>
      </c>
      <c r="E2270" s="1" t="s">
        <v>366</v>
      </c>
      <c r="F2270" s="1" t="str">
        <f>"1.968.400,00"</f>
        <v>1.968.400,00</v>
      </c>
      <c r="G2270" s="1" t="str">
        <f>CONCATENATE("12.11.2014.",CHAR(10),"4 godine")</f>
        <v>12.11.2014.
4 godine</v>
      </c>
      <c r="H2270" s="1" t="str">
        <f>CONCATENATE("1. VODOPRIVREDA ZAGREB D.D., ZAGREB",CHAR(10),"2. Zajednica ponuditelja: ",CHAR(10),"    GRADITELJ SVRATIŠTA D.O.O., ZAGREB",CHAR(10),"    MATUSANOVIĆ D.O.O., SESVETE",CHAR(10),"3. Zajednica ponuditelja: ",CHAR(10),"    VIADUKT D.D., ZAGREB",CHAR(10),"    GIP PIONIR D.O.O., ZAGREB")</f>
        <v>1. VODOPRIVREDA ZAGREB D.D., ZAGREB
2. Zajednica ponuditelja: 
    GRADITELJ SVRATIŠTA D.O.O., ZAGREB
    MATUSANOVIĆ D.O.O., SESVETE
3. Zajednica ponuditelja: 
    VIADUKT D.D., ZAGREB
    GIP PIONIR D.O.O., ZAGREB</v>
      </c>
      <c r="I2270" s="2"/>
      <c r="J2270" s="1"/>
      <c r="K2270" s="1" t="s">
        <v>607</v>
      </c>
    </row>
    <row r="2271" spans="1:11" ht="78.75" x14ac:dyDescent="0.25">
      <c r="A2271" s="1" t="str">
        <f>"858/2014"</f>
        <v>858/2014</v>
      </c>
      <c r="B2271" s="1" t="s">
        <v>136</v>
      </c>
      <c r="C2271" s="1" t="s">
        <v>2880</v>
      </c>
      <c r="D2271" s="1" t="str">
        <f>CONCATENATE("24-2014-EVV",CHAR(10),"2014/S-002-0032285 od 03.07.2014.")</f>
        <v>24-2014-EVV
2014/S-002-0032285 od 03.07.2014.</v>
      </c>
      <c r="E2271" s="1" t="s">
        <v>366</v>
      </c>
      <c r="F2271" s="1" t="str">
        <f>"2.667.227,04"</f>
        <v>2.667.227,04</v>
      </c>
      <c r="G2271" s="1" t="str">
        <f>CONCATENATE("17.11.2014.",CHAR(10),"2 godine")</f>
        <v>17.11.2014.
2 godine</v>
      </c>
      <c r="H2271" s="1" t="str">
        <f>CONCATENATE("SANITACIJA D.O.O., ZAGREB")</f>
        <v>SANITACIJA D.O.O., ZAGREB</v>
      </c>
      <c r="I2271" s="2"/>
      <c r="J2271" s="1"/>
      <c r="K2271" s="2"/>
    </row>
    <row r="2272" spans="1:11" ht="47.25" x14ac:dyDescent="0.25">
      <c r="A2272" s="1" t="str">
        <f>"859/2014"</f>
        <v>859/2014</v>
      </c>
      <c r="B2272" s="1" t="s">
        <v>14</v>
      </c>
      <c r="C2272" s="1" t="s">
        <v>1041</v>
      </c>
      <c r="D2272" s="1" t="str">
        <f>CONCATENATE("2014-2496",CHAR(10),"2014/S 002-0044689 od 25.09.2014.")</f>
        <v>2014-2496
2014/S 002-0044689 od 25.09.2014.</v>
      </c>
      <c r="E2272" s="1" t="s">
        <v>15</v>
      </c>
      <c r="F2272" s="1" t="str">
        <f>"1.069.206,00"</f>
        <v>1.069.206,00</v>
      </c>
      <c r="G2272" s="1" t="str">
        <f>CONCATENATE("18.11.2014.",CHAR(10),"1 godina od potpisa Ugovora")</f>
        <v>18.11.2014.
1 godina od potpisa Ugovora</v>
      </c>
      <c r="H2272" s="1" t="str">
        <f>CONCATENATE("KING ICT D.O.O., ZAGREB")</f>
        <v>KING ICT D.O.O., ZAGREB</v>
      </c>
      <c r="I2272" s="2"/>
      <c r="J2272" s="1"/>
      <c r="K2272" s="1" t="s">
        <v>607</v>
      </c>
    </row>
    <row r="2273" spans="1:11" ht="47.25" x14ac:dyDescent="0.25">
      <c r="A2273" s="1" t="str">
        <f>"860/2014"</f>
        <v>860/2014</v>
      </c>
      <c r="B2273" s="1" t="s">
        <v>26</v>
      </c>
      <c r="C2273" s="1" t="s">
        <v>1042</v>
      </c>
      <c r="D2273" s="1" t="str">
        <f>"2014-994"</f>
        <v>2014-994</v>
      </c>
      <c r="E2273" s="2"/>
      <c r="F2273" s="1" t="str">
        <f>"224.320,00"</f>
        <v>224.320,00</v>
      </c>
      <c r="G2273" s="1" t="str">
        <f>CONCATENATE("17.11.2014.",CHAR(10),"31.08.2015")</f>
        <v>17.11.2014.
31.08.2015</v>
      </c>
      <c r="H2273" s="1" t="str">
        <f>CONCATENATE("VAGE D.O.O., ZAGREB")</f>
        <v>VAGE D.O.O., ZAGREB</v>
      </c>
      <c r="I2273" s="2"/>
      <c r="J2273" s="1"/>
      <c r="K2273" s="1" t="s">
        <v>607</v>
      </c>
    </row>
    <row r="2274" spans="1:11" ht="47.25" x14ac:dyDescent="0.25">
      <c r="A2274" s="1" t="str">
        <f>"861/2014"</f>
        <v>861/2014</v>
      </c>
      <c r="B2274" s="1" t="s">
        <v>14</v>
      </c>
      <c r="C2274" s="1" t="s">
        <v>1043</v>
      </c>
      <c r="D2274" s="1" t="str">
        <f>CONCATENATE("824-2014-EBV",CHAR(10),"2014/S 015-0055534 od 02.12.2014.")</f>
        <v>824-2014-EBV
2014/S 015-0055534 od 02.12.2014.</v>
      </c>
      <c r="E2274" s="1" t="s">
        <v>12</v>
      </c>
      <c r="F2274" s="1" t="str">
        <f>"78.217,30"</f>
        <v>78.217,30</v>
      </c>
      <c r="G2274" s="1" t="str">
        <f>CONCATENATE("17.11.2014.",CHAR(10),"1 mjesec od dana uvođenja u posao")</f>
        <v>17.11.2014.
1 mjesec od dana uvođenja u posao</v>
      </c>
      <c r="H2274" s="1" t="str">
        <f>CONCATENATE("1. Zajednica ponuditelja: ",CHAR(10),"    TA-GRAD D.O.O., ZAGREB",CHAR(10),"    TERRACOTTA D.O.O., ZAGREB")</f>
        <v>1. Zajednica ponuditelja: 
    TA-GRAD D.O.O., ZAGREB
    TERRACOTTA D.O.O., ZAGREB</v>
      </c>
      <c r="I2274" s="1" t="s">
        <v>1044</v>
      </c>
      <c r="J2274" s="1" t="str">
        <f>SUBSTITUTE(SUBSTITUTE(SUBSTITUTE("97,771.63",".","-"),",","."),"-",",")</f>
        <v>97.771,63</v>
      </c>
      <c r="K2274" s="2"/>
    </row>
    <row r="2275" spans="1:11" ht="157.5" x14ac:dyDescent="0.25">
      <c r="A2275" s="1" t="str">
        <f>"862/2014"</f>
        <v>862/2014</v>
      </c>
      <c r="B2275" s="1" t="s">
        <v>14</v>
      </c>
      <c r="C2275" s="1" t="s">
        <v>2881</v>
      </c>
      <c r="D2275" s="1" t="str">
        <f>CONCATENATE("153-2014-EMV",CHAR(10),"2014/S 002-0037334 od 31.07.2014.")</f>
        <v>153-2014-EMV
2014/S 002-0037334 od 31.07.2014.</v>
      </c>
      <c r="E2275" s="1" t="s">
        <v>15</v>
      </c>
      <c r="F2275" s="1" t="str">
        <f>"738.934,00"</f>
        <v>738.934,00</v>
      </c>
      <c r="G2275" s="1" t="str">
        <f>CONCATENATE("17.11.2014.",CHAR(10),"150 dana od dana uvođenja u posao")</f>
        <v>17.11.2014.
150 dana od dana uvođenja u posao</v>
      </c>
      <c r="H2275" s="1" t="str">
        <f>CONCATENATE("MONTEL D.O.O., ZAGREB")</f>
        <v>MONTEL D.O.O., ZAGREB</v>
      </c>
      <c r="I2275" s="2"/>
      <c r="J2275" s="1"/>
      <c r="K2275" s="2"/>
    </row>
    <row r="2276" spans="1:11" ht="47.25" x14ac:dyDescent="0.25">
      <c r="A2276" s="1" t="str">
        <f>"863/2014"</f>
        <v>863/2014</v>
      </c>
      <c r="B2276" s="1" t="s">
        <v>14</v>
      </c>
      <c r="C2276" s="1" t="s">
        <v>1045</v>
      </c>
      <c r="D2276" s="1" t="str">
        <f>CONCATENATE("2014-453",CHAR(10),"2014/S-002-0040748 od 29.08.2014.")</f>
        <v>2014-453
2014/S-002-0040748 od 29.08.2014.</v>
      </c>
      <c r="E2276" s="1" t="s">
        <v>15</v>
      </c>
      <c r="F2276" s="1" t="str">
        <f>"839.990,00"</f>
        <v>839.990,00</v>
      </c>
      <c r="G2276" s="1" t="str">
        <f>CONCATENATE("18.11.2014.",CHAR(10),"1 godina od dana potpisa Ugovora")</f>
        <v>18.11.2014.
1 godina od dana potpisa Ugovora</v>
      </c>
      <c r="H2276" s="1" t="str">
        <f>CONCATENATE("INDUSTROOPREMA D.O.O, ZAGREB")</f>
        <v>INDUSTROOPREMA D.O.O, ZAGREB</v>
      </c>
      <c r="I2276" s="2"/>
      <c r="J2276" s="1"/>
      <c r="K2276" s="1" t="s">
        <v>607</v>
      </c>
    </row>
    <row r="2277" spans="1:11" ht="63" x14ac:dyDescent="0.25">
      <c r="A2277" s="1" t="str">
        <f>"A-133/2014"</f>
        <v>A-133/2014</v>
      </c>
      <c r="B2277" s="1" t="s">
        <v>11</v>
      </c>
      <c r="C2277" s="1" t="s">
        <v>1046</v>
      </c>
      <c r="D2277" s="1" t="str">
        <f>"741-2012-EMV"</f>
        <v>741-2012-EMV</v>
      </c>
      <c r="E2277" s="2"/>
      <c r="F2277" s="1" t="str">
        <f>"0,00"</f>
        <v>0,00</v>
      </c>
      <c r="G2277" s="1" t="str">
        <f>"17.11.2014."</f>
        <v>17.11.2014.</v>
      </c>
      <c r="H2277" s="1" t="str">
        <f>CONCATENATE("1. Zajednica ponuditelja: ",CHAR(10),"    TA-GRAD D.O.O., ZAGREB",CHAR(10),"    AKADEMSKI KIPAR IVAN BRISKI, ZAGREB")</f>
        <v>1. Zajednica ponuditelja: 
    TA-GRAD D.O.O., ZAGREB
    AKADEMSKI KIPAR IVAN BRISKI, ZAGREB</v>
      </c>
      <c r="I2277" s="2"/>
      <c r="J2277" s="1"/>
      <c r="K2277" s="2"/>
    </row>
    <row r="2278" spans="1:11" ht="47.25" x14ac:dyDescent="0.25">
      <c r="A2278" s="1" t="str">
        <f>"864/2014"</f>
        <v>864/2014</v>
      </c>
      <c r="B2278" s="1" t="s">
        <v>136</v>
      </c>
      <c r="C2278" s="1" t="s">
        <v>1047</v>
      </c>
      <c r="D2278" s="1" t="str">
        <f>CONCATENATE("2014-2334",CHAR(10),"2014/S-002-0041718 od 05.09.2014.")</f>
        <v>2014-2334
2014/S-002-0041718 od 05.09.2014.</v>
      </c>
      <c r="E2278" s="1" t="s">
        <v>366</v>
      </c>
      <c r="F2278" s="1" t="str">
        <f>"6.727.600,00"</f>
        <v>6.727.600,00</v>
      </c>
      <c r="G2278" s="1" t="str">
        <f>CONCATENATE("17.11.2014.",CHAR(10),"2 godine")</f>
        <v>17.11.2014.
2 godine</v>
      </c>
      <c r="H2278" s="1" t="str">
        <f>CONCATENATE("GUMIIMPEX - GRP D.D., VARAŽDIN")</f>
        <v>GUMIIMPEX - GRP D.D., VARAŽDIN</v>
      </c>
      <c r="I2278" s="2"/>
      <c r="J2278" s="1"/>
      <c r="K2278" s="1" t="s">
        <v>607</v>
      </c>
    </row>
    <row r="2279" spans="1:11" ht="47.25" x14ac:dyDescent="0.25">
      <c r="A2279" s="1" t="str">
        <f>"865/2014"</f>
        <v>865/2014</v>
      </c>
      <c r="B2279" s="1" t="s">
        <v>14</v>
      </c>
      <c r="C2279" s="1" t="s">
        <v>1048</v>
      </c>
      <c r="D2279" s="1" t="str">
        <f>CONCATENATE("296-2014-EMV",CHAR(10),"2014/S 015-0049490 od 28.10.2014.")</f>
        <v>296-2014-EMV
2014/S 015-0049490 od 28.10.2014.</v>
      </c>
      <c r="E2279" s="1" t="s">
        <v>12</v>
      </c>
      <c r="F2279" s="1" t="str">
        <f>"598.596,00"</f>
        <v>598.596,00</v>
      </c>
      <c r="G2279" s="1" t="str">
        <f>CONCATENATE("18.11.2014.",CHAR(10),"2 godine od dana obostranog potpisa Ugovora")</f>
        <v>18.11.2014.
2 godine od dana obostranog potpisa Ugovora</v>
      </c>
      <c r="H2279" s="1" t="str">
        <f>CONCATENATE("EUROPAN HRVATSKA, ZAGREB")</f>
        <v>EUROPAN HRVATSKA, ZAGREB</v>
      </c>
      <c r="I2279" s="2"/>
      <c r="J2279" s="1"/>
      <c r="K2279" s="2"/>
    </row>
    <row r="2280" spans="1:11" ht="47.25" x14ac:dyDescent="0.25">
      <c r="A2280" s="1" t="str">
        <f>"866/2014"</f>
        <v>866/2014</v>
      </c>
      <c r="B2280" s="1" t="s">
        <v>14</v>
      </c>
      <c r="C2280" s="1" t="s">
        <v>1049</v>
      </c>
      <c r="D2280" s="1" t="str">
        <f>CONCATENATE("2014-2297",CHAR(10),"2014/S-002-0039522 od 20.08.2014.")</f>
        <v>2014-2297
2014/S-002-0039522 od 20.08.2014.</v>
      </c>
      <c r="E2280" s="1" t="s">
        <v>15</v>
      </c>
      <c r="F2280" s="1" t="str">
        <f>"1.057.080,00"</f>
        <v>1.057.080,00</v>
      </c>
      <c r="G2280" s="1" t="str">
        <f>CONCATENATE("18.11.2014.",CHAR(10),"30 dana od dana uvođenja u posao")</f>
        <v>18.11.2014.
30 dana od dana uvođenja u posao</v>
      </c>
      <c r="H2280" s="1" t="str">
        <f>CONCATENATE("1. Zajednica ponuditelja: ",CHAR(10),"    BRACO KOP D.O.O., ZAGREB",CHAR(10),"    MONTING D.O.O., ZAGREB")</f>
        <v>1. Zajednica ponuditelja: 
    BRACO KOP D.O.O., ZAGREB
    MONTING D.O.O., ZAGREB</v>
      </c>
      <c r="I2280" s="2"/>
      <c r="J2280" s="1"/>
      <c r="K2280" s="1" t="s">
        <v>607</v>
      </c>
    </row>
    <row r="2281" spans="1:11" ht="47.25" x14ac:dyDescent="0.25">
      <c r="A2281" s="1" t="str">
        <f>"867/2014"</f>
        <v>867/2014</v>
      </c>
      <c r="B2281" s="1" t="s">
        <v>14</v>
      </c>
      <c r="C2281" s="1" t="s">
        <v>1050</v>
      </c>
      <c r="D2281" s="1" t="str">
        <f>CONCATENATE("2014-2456",CHAR(10),"2014/S-002-0039477 od 20.08.2014.")</f>
        <v>2014-2456
2014/S-002-0039477 od 20.08.2014.</v>
      </c>
      <c r="E2281" s="1" t="s">
        <v>15</v>
      </c>
      <c r="F2281" s="1" t="str">
        <f>"2.098.000,00"</f>
        <v>2.098.000,00</v>
      </c>
      <c r="G2281" s="1" t="str">
        <f>CONCATENATE("18.11.2014.",CHAR(10),"120 dana od dana obostranog potpisa Ugovora")</f>
        <v>18.11.2014.
120 dana od dana obostranog potpisa Ugovora</v>
      </c>
      <c r="H2281" s="1" t="str">
        <f>CONCATENATE("GRADATIN D.O.O., SESVETE")</f>
        <v>GRADATIN D.O.O., SESVETE</v>
      </c>
      <c r="I2281" s="1" t="s">
        <v>470</v>
      </c>
      <c r="J2281" s="1" t="str">
        <f>SUBSTITUTE(SUBSTITUTE(SUBSTITUTE("2,622,500.00",".","-"),",","."),"-",",")</f>
        <v>2.622.500,00</v>
      </c>
      <c r="K2281" s="1" t="s">
        <v>607</v>
      </c>
    </row>
    <row r="2282" spans="1:11" ht="47.25" x14ac:dyDescent="0.25">
      <c r="A2282" s="1" t="str">
        <f>"868/2014"</f>
        <v>868/2014</v>
      </c>
      <c r="B2282" s="1" t="s">
        <v>14</v>
      </c>
      <c r="C2282" s="1" t="s">
        <v>1051</v>
      </c>
      <c r="D2282" s="1" t="str">
        <f>CONCATENATE("2014-278",CHAR(10),"2014/S 002-0039668 od 21.08.2014.")</f>
        <v>2014-278
2014/S 002-0039668 od 21.08.2014.</v>
      </c>
      <c r="E2282" s="1" t="s">
        <v>15</v>
      </c>
      <c r="F2282" s="1" t="str">
        <f>"522.581,00"</f>
        <v>522.581,00</v>
      </c>
      <c r="G2282" s="1" t="str">
        <f>CONCATENATE("18.11.2014.",CHAR(10),"1 godina")</f>
        <v>18.11.2014.
1 godina</v>
      </c>
      <c r="H2282" s="1" t="str">
        <f>CONCATENATE("VODOSKOK D.D., ZAGREB")</f>
        <v>VODOSKOK D.D., ZAGREB</v>
      </c>
      <c r="I2282" s="2"/>
      <c r="J2282" s="1"/>
      <c r="K2282" s="1" t="s">
        <v>607</v>
      </c>
    </row>
    <row r="2283" spans="1:11" ht="47.25" x14ac:dyDescent="0.25">
      <c r="A2283" s="1" t="str">
        <f>"869/2014"</f>
        <v>869/2014</v>
      </c>
      <c r="B2283" s="1" t="s">
        <v>14</v>
      </c>
      <c r="C2283" s="1" t="s">
        <v>1052</v>
      </c>
      <c r="D2283" s="1" t="str">
        <f>CONCATENATE("2014-2347",CHAR(10),"2014/S 002-0042244 od 09.09.2014.")</f>
        <v>2014-2347
2014/S 002-0042244 od 09.09.2014.</v>
      </c>
      <c r="E2283" s="1" t="s">
        <v>15</v>
      </c>
      <c r="F2283" s="1" t="str">
        <f>"959.691,68"</f>
        <v>959.691,68</v>
      </c>
      <c r="G2283" s="1" t="str">
        <f>CONCATENATE("18.11.2014.",CHAR(10),"45 dana od dana uvođenja u posao")</f>
        <v>18.11.2014.
45 dana od dana uvođenja u posao</v>
      </c>
      <c r="H2283" s="1" t="str">
        <f>CONCATENATE("VODOTEHNIKA D.D., ZAGREB")</f>
        <v>VODOTEHNIKA D.D., ZAGREB</v>
      </c>
      <c r="I2283" s="2"/>
      <c r="J2283" s="1"/>
      <c r="K2283" s="1" t="s">
        <v>607</v>
      </c>
    </row>
    <row r="2284" spans="1:11" ht="47.25" x14ac:dyDescent="0.25">
      <c r="A2284" s="1" t="str">
        <f>"870/2014"</f>
        <v>870/2014</v>
      </c>
      <c r="B2284" s="1" t="s">
        <v>14</v>
      </c>
      <c r="C2284" s="1" t="s">
        <v>1053</v>
      </c>
      <c r="D2284" s="1" t="str">
        <f>CONCATENATE("479-2014-EMV",CHAR(10),"2014/S 002-0019547 od 15.04.2014.")</f>
        <v>479-2014-EMV
2014/S 002-0019547 od 15.04.2014.</v>
      </c>
      <c r="E2284" s="1" t="s">
        <v>15</v>
      </c>
      <c r="F2284" s="1" t="str">
        <f>"1.126.201,00"</f>
        <v>1.126.201,00</v>
      </c>
      <c r="G2284" s="1" t="str">
        <f>CONCATENATE("17.11.2014.",CHAR(10),"75 dana od dana uvođenja u posao")</f>
        <v>17.11.2014.
75 dana od dana uvođenja u posao</v>
      </c>
      <c r="H2284" s="1" t="str">
        <f>CONCATENATE("TEMEX D.O.O., ZAGREB")</f>
        <v>TEMEX D.O.O., ZAGREB</v>
      </c>
      <c r="I2284" s="2"/>
      <c r="J2284" s="1"/>
      <c r="K2284" s="2"/>
    </row>
    <row r="2285" spans="1:11" ht="47.25" x14ac:dyDescent="0.25">
      <c r="A2285" s="1" t="str">
        <f>"871/2014"</f>
        <v>871/2014</v>
      </c>
      <c r="B2285" s="1" t="s">
        <v>14</v>
      </c>
      <c r="C2285" s="1" t="s">
        <v>1054</v>
      </c>
      <c r="D2285" s="1" t="str">
        <f>CONCATENATE("241-2014-EMV",CHAR(10),"2014/S 002-0041540 od 04.09.2014.")</f>
        <v>241-2014-EMV
2014/S 002-0041540 od 04.09.2014.</v>
      </c>
      <c r="E2285" s="1" t="s">
        <v>15</v>
      </c>
      <c r="F2285" s="1" t="str">
        <f>"908.355,10"</f>
        <v>908.355,10</v>
      </c>
      <c r="G2285" s="1" t="str">
        <f>CONCATENATE("17.11.2014.",CHAR(10),"12 mjeseci od dana obostranog potpisa Ugovora")</f>
        <v>17.11.2014.
12 mjeseci od dana obostranog potpisa Ugovora</v>
      </c>
      <c r="H2285" s="1" t="str">
        <f>CONCATENATE("COMBIS D.O.O., ZAGREB")</f>
        <v>COMBIS D.O.O., ZAGREB</v>
      </c>
      <c r="I2285" s="2"/>
      <c r="J2285" s="1"/>
      <c r="K2285" s="2"/>
    </row>
    <row r="2286" spans="1:11" ht="47.25" x14ac:dyDescent="0.25">
      <c r="A2286" s="1" t="str">
        <f>"872/2014"</f>
        <v>872/2014</v>
      </c>
      <c r="B2286" s="1" t="s">
        <v>136</v>
      </c>
      <c r="C2286" s="1" t="s">
        <v>1055</v>
      </c>
      <c r="D2286" s="1" t="str">
        <f>CONCATENATE("2014-2392",CHAR(10),"2014/S 002-0039481 od 20.08.2014.")</f>
        <v>2014-2392
2014/S 002-0039481 od 20.08.2014.</v>
      </c>
      <c r="E2286" s="1" t="s">
        <v>366</v>
      </c>
      <c r="F2286" s="1" t="str">
        <f>"7.683.862,11"</f>
        <v>7.683.862,11</v>
      </c>
      <c r="G2286" s="1" t="str">
        <f>CONCATENATE("17.11.2014.",CHAR(10),"2 godine")</f>
        <v>17.11.2014.
2 godine</v>
      </c>
      <c r="H2286" s="1" t="str">
        <f>CONCATENATE("SAMOBORKA D.D., SAMOBOR")</f>
        <v>SAMOBORKA D.D., SAMOBOR</v>
      </c>
      <c r="I2286" s="2"/>
      <c r="J2286" s="1"/>
      <c r="K2286" s="1" t="s">
        <v>607</v>
      </c>
    </row>
    <row r="2287" spans="1:11" ht="47.25" x14ac:dyDescent="0.25">
      <c r="A2287" s="1" t="str">
        <f>"873/2014"</f>
        <v>873/2014</v>
      </c>
      <c r="B2287" s="1" t="s">
        <v>26</v>
      </c>
      <c r="C2287" s="1" t="s">
        <v>1030</v>
      </c>
      <c r="D2287" s="1" t="str">
        <f>"2014-1569"</f>
        <v>2014-1569</v>
      </c>
      <c r="E2287" s="2"/>
      <c r="F2287" s="1" t="str">
        <f>"11.629.764,00"</f>
        <v>11.629.764,00</v>
      </c>
      <c r="G2287" s="1" t="str">
        <f>CONCATENATE("17.11.2014.",CHAR(10),"28.02.2015")</f>
        <v>17.11.2014.
28.02.2015</v>
      </c>
      <c r="H2287" s="1" t="str">
        <f>CONCATENATE("ELECTUS DGS D.O.O., ZAGREB")</f>
        <v>ELECTUS DGS D.O.O., ZAGREB</v>
      </c>
      <c r="I2287" s="2"/>
      <c r="J2287" s="1"/>
      <c r="K2287" s="1" t="s">
        <v>607</v>
      </c>
    </row>
    <row r="2288" spans="1:11" ht="47.25" x14ac:dyDescent="0.25">
      <c r="A2288" s="1" t="str">
        <f>"874/2014"</f>
        <v>874/2014</v>
      </c>
      <c r="B2288" s="1" t="s">
        <v>14</v>
      </c>
      <c r="C2288" s="1" t="s">
        <v>1056</v>
      </c>
      <c r="D2288" s="1" t="str">
        <f>CONCATENATE("2541-2014-EMV",CHAR(10),"2014/S 002-0030922 od 23.06.2014.")</f>
        <v>2541-2014-EMV
2014/S 002-0030922 od 23.06.2014.</v>
      </c>
      <c r="E2288" s="1" t="s">
        <v>15</v>
      </c>
      <c r="F2288" s="1" t="str">
        <f>"3.954.010,00"</f>
        <v>3.954.010,00</v>
      </c>
      <c r="G2288" s="1" t="str">
        <f>CONCATENATE("18.11.2014.",CHAR(10),"12 mjeseci od dana uvođenja u posao")</f>
        <v>18.11.2014.
12 mjeseci od dana uvođenja u posao</v>
      </c>
      <c r="H2288" s="1" t="str">
        <f>CONCATENATE("GEORAD D.O.O., ZAGREB")</f>
        <v>GEORAD D.O.O., ZAGREB</v>
      </c>
      <c r="I2288" s="2"/>
      <c r="J2288" s="1"/>
      <c r="K2288" s="2"/>
    </row>
    <row r="2289" spans="1:11" ht="47.25" x14ac:dyDescent="0.25">
      <c r="A2289" s="1" t="str">
        <f>"875/2014"</f>
        <v>875/2014</v>
      </c>
      <c r="B2289" s="1" t="s">
        <v>14</v>
      </c>
      <c r="C2289" s="1" t="s">
        <v>2882</v>
      </c>
      <c r="D2289" s="1" t="str">
        <f>CONCATENATE("2014-2151",CHAR(10),"2014/S 002-0037026 od 30.07.2014.")</f>
        <v>2014-2151
2014/S 002-0037026 od 30.07.2014.</v>
      </c>
      <c r="E2289" s="1" t="s">
        <v>15</v>
      </c>
      <c r="F2289" s="1" t="str">
        <f>"1.820.896,00"</f>
        <v>1.820.896,00</v>
      </c>
      <c r="G2289" s="1" t="str">
        <f>CONCATENATE("18.11.2014.",CHAR(10),"1 godina")</f>
        <v>18.11.2014.
1 godina</v>
      </c>
      <c r="H2289" s="1" t="str">
        <f>CONCATENATE("TEKNOXGROUP HRVATSKA D.O.O., ZAGREB")</f>
        <v>TEKNOXGROUP HRVATSKA D.O.O., ZAGREB</v>
      </c>
      <c r="I2289" s="2"/>
      <c r="J2289" s="1"/>
      <c r="K2289" s="1" t="s">
        <v>607</v>
      </c>
    </row>
    <row r="2290" spans="1:11" ht="63" x14ac:dyDescent="0.25">
      <c r="A2290" s="1" t="str">
        <f>"876/2014"</f>
        <v>876/2014</v>
      </c>
      <c r="B2290" s="1" t="s">
        <v>26</v>
      </c>
      <c r="C2290" s="1" t="s">
        <v>1057</v>
      </c>
      <c r="D2290" s="1" t="str">
        <f>"Z-2014-3"</f>
        <v>Z-2014-3</v>
      </c>
      <c r="E2290" s="2"/>
      <c r="F2290" s="1" t="str">
        <f>"179.478,10"</f>
        <v>179.478,10</v>
      </c>
      <c r="G2290" s="1" t="str">
        <f>CONCATENATE("18.11.2014.",CHAR(10),"30.04.2015")</f>
        <v>18.11.2014.
30.04.2015</v>
      </c>
      <c r="H2290" s="1" t="str">
        <f>CONCATENATE("1. Zajednica ponuditelja: ",CHAR(10),"    INSAKO D.O.O., ZAGREB-NOVI ZAGREB",CHAR(10),"    PREMIUM D.O.O., ZAGREB")</f>
        <v>1. Zajednica ponuditelja: 
    INSAKO D.O.O., ZAGREB-NOVI ZAGREB
    PREMIUM D.O.O., ZAGREB</v>
      </c>
      <c r="I2290" s="2"/>
      <c r="J2290" s="1"/>
      <c r="K2290" s="1" t="s">
        <v>607</v>
      </c>
    </row>
    <row r="2291" spans="1:11" ht="47.25" x14ac:dyDescent="0.25">
      <c r="A2291" s="1" t="str">
        <f>"877/2014"</f>
        <v>877/2014</v>
      </c>
      <c r="B2291" s="1" t="s">
        <v>136</v>
      </c>
      <c r="C2291" s="1" t="s">
        <v>1058</v>
      </c>
      <c r="D2291" s="1" t="str">
        <f>CONCATENATE("2014-2467",CHAR(10),"2014/S 002-0041605 od 04.09.2014.")</f>
        <v>2014-2467
2014/S 002-0041605 od 04.09.2014.</v>
      </c>
      <c r="E2291" s="1" t="s">
        <v>366</v>
      </c>
      <c r="F2291" s="1" t="str">
        <f>"984.000,00"</f>
        <v>984.000,00</v>
      </c>
      <c r="G2291" s="1" t="str">
        <f>CONCATENATE("17.11.2014.",CHAR(10),"2 godine")</f>
        <v>17.11.2014.
2 godine</v>
      </c>
      <c r="H2291" s="1" t="str">
        <f>CONCATENATE("SCHEDA D.O.O., SESVETE",CHAR(10),"ŠVENDA-TARMANN CHEMIE D.O.O., PRELOG")</f>
        <v>SCHEDA D.O.O., SESVETE
ŠVENDA-TARMANN CHEMIE D.O.O., PRELOG</v>
      </c>
      <c r="I2291" s="2"/>
      <c r="J2291" s="1"/>
      <c r="K2291" s="1" t="s">
        <v>607</v>
      </c>
    </row>
    <row r="2292" spans="1:11" ht="47.25" x14ac:dyDescent="0.25">
      <c r="A2292" s="1" t="str">
        <f>"878/2014"</f>
        <v>878/2014</v>
      </c>
      <c r="B2292" s="1" t="s">
        <v>136</v>
      </c>
      <c r="C2292" s="1" t="s">
        <v>1059</v>
      </c>
      <c r="D2292" s="1" t="str">
        <f>CONCATENATE("243-2014-EMV",CHAR(10),"2014/S 002-0039989 od 22.08.2014.")</f>
        <v>243-2014-EMV
2014/S 002-0039989 od 22.08.2014.</v>
      </c>
      <c r="E2292" s="1" t="s">
        <v>366</v>
      </c>
      <c r="F2292" s="1" t="str">
        <f>"1.499.394,81"</f>
        <v>1.499.394,81</v>
      </c>
      <c r="G2292" s="1" t="str">
        <f>CONCATENATE("18.11.2014.",CHAR(10),"2 godine")</f>
        <v>18.11.2014.
2 godine</v>
      </c>
      <c r="H2292" s="1" t="str">
        <f>CONCATENATE("RETEL D.O.O., ZAGREB")</f>
        <v>RETEL D.O.O., ZAGREB</v>
      </c>
      <c r="I2292" s="2"/>
      <c r="J2292" s="1"/>
      <c r="K2292" s="2"/>
    </row>
    <row r="2293" spans="1:11" ht="47.25" x14ac:dyDescent="0.25">
      <c r="A2293" s="1" t="str">
        <f>"879/2014"</f>
        <v>879/2014</v>
      </c>
      <c r="B2293" s="1" t="s">
        <v>14</v>
      </c>
      <c r="C2293" s="1" t="s">
        <v>1060</v>
      </c>
      <c r="D2293" s="1" t="str">
        <f>CONCATENATE("2014-2296",CHAR(10),"2014/S-002-0039702 od 21.08.2014.")</f>
        <v>2014-2296
2014/S-002-0039702 od 21.08.2014.</v>
      </c>
      <c r="E2293" s="1" t="s">
        <v>15</v>
      </c>
      <c r="F2293" s="1" t="str">
        <f>"1.675.130,15"</f>
        <v>1.675.130,15</v>
      </c>
      <c r="G2293" s="1" t="str">
        <f>CONCATENATE("18.11.2014.",CHAR(10),"35 dana od dana uvođenja u posao")</f>
        <v>18.11.2014.
35 dana od dana uvođenja u posao</v>
      </c>
      <c r="H2293" s="1" t="str">
        <f>CONCATENATE("1. Zajednica ponuditelja: ",CHAR(10),"    BRACO KOP D.O.O., ZAGREB",CHAR(10),"    MONTING D.O.O., ZAGREB")</f>
        <v>1. Zajednica ponuditelja: 
    BRACO KOP D.O.O., ZAGREB
    MONTING D.O.O., ZAGREB</v>
      </c>
      <c r="I2293" s="2"/>
      <c r="J2293" s="1"/>
      <c r="K2293" s="1" t="s">
        <v>607</v>
      </c>
    </row>
    <row r="2294" spans="1:11" ht="63" x14ac:dyDescent="0.25">
      <c r="A2294" s="1" t="str">
        <f>"880/2014"</f>
        <v>880/2014</v>
      </c>
      <c r="B2294" s="1" t="s">
        <v>26</v>
      </c>
      <c r="C2294" s="1" t="s">
        <v>2883</v>
      </c>
      <c r="D2294" s="1" t="str">
        <f>"378-2012-EVV-2"</f>
        <v>378-2012-EVV-2</v>
      </c>
      <c r="E2294" s="2"/>
      <c r="F2294" s="1" t="str">
        <f>"1.019.069,00"</f>
        <v>1.019.069,00</v>
      </c>
      <c r="G2294" s="1" t="str">
        <f>CONCATENATE("19.11.2014.",CHAR(10),"12 mjeseci")</f>
        <v>19.11.2014.
12 mjeseci</v>
      </c>
      <c r="H2294" s="1" t="str">
        <f>CONCATENATE("MESNA INDUSTRIJA-VAJDA D.D., ČAKOVEC")</f>
        <v>MESNA INDUSTRIJA-VAJDA D.D., ČAKOVEC</v>
      </c>
      <c r="I2294" s="2"/>
      <c r="J2294" s="1"/>
      <c r="K2294" s="2"/>
    </row>
    <row r="2295" spans="1:11" ht="157.5" x14ac:dyDescent="0.25">
      <c r="A2295" s="1" t="str">
        <f>"882/2014"</f>
        <v>882/2014</v>
      </c>
      <c r="B2295" s="1" t="s">
        <v>136</v>
      </c>
      <c r="C2295" s="1" t="s">
        <v>1061</v>
      </c>
      <c r="D2295" s="1" t="str">
        <f>CONCATENATE("2014-771",CHAR(10),"2014/S 002-0042583 od 10.09.2014.")</f>
        <v>2014-771
2014/S 002-0042583 od 10.09.2014.</v>
      </c>
      <c r="E2295" s="1" t="s">
        <v>366</v>
      </c>
      <c r="F2295" s="1" t="str">
        <f>"17.820.390,00"</f>
        <v>17.820.390,00</v>
      </c>
      <c r="G2295" s="1" t="str">
        <f>CONCATENATE("17.11.2014.",CHAR(10),"2 godine")</f>
        <v>17.11.2014.
2 godine</v>
      </c>
      <c r="H2295" s="1" t="str">
        <f>CONCATENATE("1. TEMEX D.O.O., ZAGREB",CHAR(10),"2. Zajednica ponuditelja: ",CHAR(10),"    GUT D.O.O., ZAGREB",CHAR(10),"    KOM-EKO D.O.O., ZAGREB",CHAR(10),"    NI-AL D.O.O., VELIKA GORICA",CHAR(10),"    MC ČIŠĆENJE D.O.O., SISAK",CHAR(10),"3. TIGRA D.O.O., ZAGREB",CHAR(10),"4. AMB GRADNJA D.O.O., ZAGREB",CHAR(10),"5. BOLČEVIĆ GRADNJA D.O.O., SESVETE-KRALJEVEC")</f>
        <v>1. TEMEX D.O.O., ZAGREB
2. Zajednica ponuditelja: 
    GUT D.O.O., ZAGREB
    KOM-EKO D.O.O., ZAGREB
    NI-AL D.O.O., VELIKA GORICA
    MC ČIŠĆENJE D.O.O., SISAK
3. TIGRA D.O.O., ZAGREB
4. AMB GRADNJA D.O.O., ZAGREB
5. BOLČEVIĆ GRADNJA D.O.O., SESVETE-KRALJEVEC</v>
      </c>
      <c r="I2295" s="2"/>
      <c r="J2295" s="1"/>
      <c r="K2295" s="1" t="s">
        <v>607</v>
      </c>
    </row>
    <row r="2296" spans="1:11" ht="189" x14ac:dyDescent="0.25">
      <c r="A2296" s="1" t="str">
        <f>"884/2014"</f>
        <v>884/2014</v>
      </c>
      <c r="B2296" s="1" t="s">
        <v>14</v>
      </c>
      <c r="C2296" s="1" t="s">
        <v>1062</v>
      </c>
      <c r="D2296" s="1" t="str">
        <f>CONCATENATE("1228-2014-EVV",CHAR(10),"2014/S 002-0041758 od 05.09.2014.")</f>
        <v>1228-2014-EVV
2014/S 002-0041758 od 05.09.2014.</v>
      </c>
      <c r="E2296" s="1" t="s">
        <v>15</v>
      </c>
      <c r="F2296" s="1" t="str">
        <f>"4.685.837,00"</f>
        <v>4.685.837,00</v>
      </c>
      <c r="G2296" s="1" t="str">
        <f>CONCATENATE("20.11.2014.",CHAR(10),"3 mjeseca")</f>
        <v>20.11.2014.
3 mjeseca</v>
      </c>
      <c r="H2296" s="1" t="str">
        <f>CONCATENATE("1. Zajednica ponuditelja: ",CHAR(10),"    GEO-LAMA D.O.O., ZAGREB",CHAR(10),"    JAVNA RAZSVJETLJAVA D.D., LJUBLJANA-DOBRUNJE",CHAR(10),"    ELEKTRO GRAĐENJE D.O.O., ZAGREB",CHAR(10),"    E.M.G. OBRT, SISAK-CAPRAG",CHAR(10),"    TRSTENIK ELEKTRONIKA D.O.O., SESVETE-KRALJEVEC",CHAR(10),"    EL-ING ELEKTRO RADOVI, TRGOVINA I CONZALTING - OBRT, JASTREBARSKO")</f>
        <v>1. Zajednica ponuditelja: 
    GEO-LAMA D.O.O., ZAGREB
    JAVNA RAZSVJETLJAVA D.D., LJUBLJANA-DOBRUNJE
    ELEKTRO GRAĐENJE D.O.O., ZAGREB
    E.M.G. OBRT, SISAK-CAPRAG
    TRSTENIK ELEKTRONIKA D.O.O., SESVETE-KRALJEVEC
    EL-ING ELEKTRO RADOVI, TRGOVINA I CONZALTING - OBRT, JASTREBARSKO</v>
      </c>
      <c r="I2296" s="2"/>
      <c r="J2296" s="1"/>
      <c r="K2296" s="2"/>
    </row>
    <row r="2297" spans="1:11" ht="47.25" x14ac:dyDescent="0.25">
      <c r="A2297" s="1" t="str">
        <f>"885/2014"</f>
        <v>885/2014</v>
      </c>
      <c r="B2297" s="1" t="s">
        <v>14</v>
      </c>
      <c r="C2297" s="1" t="s">
        <v>1063</v>
      </c>
      <c r="D2297" s="1" t="str">
        <f>CONCATENATE("469-2014-EMV",CHAR(10),"2014/S 002-0037097 od 30.07.2014.")</f>
        <v>469-2014-EMV
2014/S 002-0037097 od 30.07.2014.</v>
      </c>
      <c r="E2297" s="1" t="s">
        <v>15</v>
      </c>
      <c r="F2297" s="1" t="str">
        <f>"2.249.670,00"</f>
        <v>2.249.670,00</v>
      </c>
      <c r="G2297" s="1" t="str">
        <f>CONCATENATE("18.11.2014.",CHAR(10),"90 dana od dana uvođenja u posao")</f>
        <v>18.11.2014.
90 dana od dana uvođenja u posao</v>
      </c>
      <c r="H2297" s="1" t="str">
        <f>CONCATENATE("O.K.I. MONT D.O.O., ZAGREB")</f>
        <v>O.K.I. MONT D.O.O., ZAGREB</v>
      </c>
      <c r="I2297" s="2"/>
      <c r="J2297" s="1"/>
      <c r="K2297" s="2"/>
    </row>
    <row r="2298" spans="1:11" ht="63" x14ac:dyDescent="0.25">
      <c r="A2298" s="1" t="str">
        <f>"886/2014"</f>
        <v>886/2014</v>
      </c>
      <c r="B2298" s="1" t="s">
        <v>26</v>
      </c>
      <c r="C2298" s="1" t="s">
        <v>1064</v>
      </c>
      <c r="D2298" s="1" t="str">
        <f>"Z-2014-14"</f>
        <v>Z-2014-14</v>
      </c>
      <c r="E2298" s="2"/>
      <c r="F2298" s="1" t="str">
        <f>"1.545.170,00"</f>
        <v>1.545.170,00</v>
      </c>
      <c r="G2298" s="1" t="str">
        <f>CONCATENATE("26.11.2014.",CHAR(10),"31.3.2015")</f>
        <v>26.11.2014.
31.3.2015</v>
      </c>
      <c r="H2298" s="1" t="str">
        <f>CONCATENATE("1. Zajednica ponuditelja: ",CHAR(10),"    PALIĆ INŽENJERING, ZAGREB",CHAR(10),"    REMETINEC GRADNJA D.O.O., ZAGREB")</f>
        <v>1. Zajednica ponuditelja: 
    PALIĆ INŽENJERING, ZAGREB
    REMETINEC GRADNJA D.O.O., ZAGREB</v>
      </c>
      <c r="I2298" s="2"/>
      <c r="J2298" s="1"/>
      <c r="K2298" s="1" t="s">
        <v>607</v>
      </c>
    </row>
    <row r="2299" spans="1:11" ht="47.25" x14ac:dyDescent="0.25">
      <c r="A2299" s="1" t="str">
        <f>"887/2014"</f>
        <v>887/2014</v>
      </c>
      <c r="B2299" s="1" t="s">
        <v>26</v>
      </c>
      <c r="C2299" s="1" t="s">
        <v>1065</v>
      </c>
      <c r="D2299" s="1" t="str">
        <f>"Z-2014-14"</f>
        <v>Z-2014-14</v>
      </c>
      <c r="E2299" s="2"/>
      <c r="F2299" s="1" t="str">
        <f>"1.185.996,00"</f>
        <v>1.185.996,00</v>
      </c>
      <c r="G2299" s="1" t="str">
        <f>CONCATENATE("26.11.2014.",CHAR(10),"31.3.2015")</f>
        <v>26.11.2014.
31.3.2015</v>
      </c>
      <c r="H2299" s="1" t="str">
        <f>CONCATENATE("POLJO-PROM TRGOVINA I USLUGE, VL. ZLATKO KRIŽANIĆ, ZAGREB")</f>
        <v>POLJO-PROM TRGOVINA I USLUGE, VL. ZLATKO KRIŽANIĆ, ZAGREB</v>
      </c>
      <c r="I2299" s="2"/>
      <c r="J2299" s="1"/>
      <c r="K2299" s="1" t="s">
        <v>607</v>
      </c>
    </row>
    <row r="2300" spans="1:11" ht="47.25" x14ac:dyDescent="0.25">
      <c r="A2300" s="1" t="str">
        <f>"888/2014"</f>
        <v>888/2014</v>
      </c>
      <c r="B2300" s="1" t="s">
        <v>136</v>
      </c>
      <c r="C2300" s="1" t="s">
        <v>1066</v>
      </c>
      <c r="D2300" s="1" t="str">
        <f>CONCATENATE("2014-46",CHAR(10),"2014/S 002-0037304 od 31.07.2014.")</f>
        <v>2014-46
2014/S 002-0037304 od 31.07.2014.</v>
      </c>
      <c r="E2300" s="1" t="s">
        <v>366</v>
      </c>
      <c r="F2300" s="1" t="str">
        <f>"925.904,00"</f>
        <v>925.904,00</v>
      </c>
      <c r="G2300" s="1" t="str">
        <f>CONCATENATE("19.11.2014.",CHAR(10),"2 godine")</f>
        <v>19.11.2014.
2 godine</v>
      </c>
      <c r="H2300" s="1" t="str">
        <f>CONCATENATE("INDUSTROOPREMA D.O.O, ZAGREB")</f>
        <v>INDUSTROOPREMA D.O.O, ZAGREB</v>
      </c>
      <c r="I2300" s="2"/>
      <c r="J2300" s="1"/>
      <c r="K2300" s="1" t="s">
        <v>607</v>
      </c>
    </row>
    <row r="2301" spans="1:11" ht="78.75" x14ac:dyDescent="0.25">
      <c r="A2301" s="1" t="str">
        <f>"A-135/2014"</f>
        <v>A-135/2014</v>
      </c>
      <c r="B2301" s="1" t="s">
        <v>11</v>
      </c>
      <c r="C2301" s="1" t="s">
        <v>1067</v>
      </c>
      <c r="D2301" s="1" t="str">
        <f>"1978-2013-EMV"</f>
        <v>1978-2013-EMV</v>
      </c>
      <c r="E2301" s="2"/>
      <c r="F2301" s="1" t="str">
        <f>"0,00"</f>
        <v>0,00</v>
      </c>
      <c r="G2301" s="1" t="str">
        <f>CONCATENATE("20.11.2014.",CHAR(10),"30.11.2014")</f>
        <v>20.11.2014.
30.11.2014</v>
      </c>
      <c r="H2301" s="1" t="str">
        <f>CONCATENATE("1. Zajednica ponuditelja: ",CHAR(10),"    ARHINGTRADE D.O.O., ZAGREB",CHAR(10),"    HVAT D.O.O., SAMOBOR")</f>
        <v>1. Zajednica ponuditelja: 
    ARHINGTRADE D.O.O., ZAGREB
    HVAT D.O.O., SAMOBOR</v>
      </c>
      <c r="I2301" s="2"/>
      <c r="J2301" s="1"/>
      <c r="K2301" s="2"/>
    </row>
    <row r="2302" spans="1:11" ht="63" x14ac:dyDescent="0.25">
      <c r="A2302" s="1" t="str">
        <f>"A-136/2014"</f>
        <v>A-136/2014</v>
      </c>
      <c r="B2302" s="1" t="s">
        <v>11</v>
      </c>
      <c r="C2302" s="1" t="s">
        <v>1068</v>
      </c>
      <c r="D2302" s="1" t="str">
        <f>"Z-2014-5"</f>
        <v>Z-2014-5</v>
      </c>
      <c r="E2302" s="2"/>
      <c r="F2302" s="1" t="str">
        <f>"199.130,15"</f>
        <v>199.130,15</v>
      </c>
      <c r="G2302" s="1" t="str">
        <f>"20.11.2014."</f>
        <v>20.11.2014.</v>
      </c>
      <c r="H2302" s="1" t="str">
        <f>CONCATENATE("1. Zajednica ponuditelja: ",CHAR(10),"    KONZUM D.D., ZAGREB",CHAR(10),"    ŽITNJAK D.D., ZAGREB")</f>
        <v>1. Zajednica ponuditelja: 
    KONZUM D.D., ZAGREB
    ŽITNJAK D.D., ZAGREB</v>
      </c>
      <c r="I2302" s="2"/>
      <c r="J2302" s="1"/>
      <c r="K2302" s="1" t="s">
        <v>607</v>
      </c>
    </row>
    <row r="2303" spans="1:11" ht="47.25" x14ac:dyDescent="0.25">
      <c r="A2303" s="1" t="str">
        <f>"889/2014"</f>
        <v>889/2014</v>
      </c>
      <c r="B2303" s="1" t="s">
        <v>136</v>
      </c>
      <c r="C2303" s="1" t="s">
        <v>1069</v>
      </c>
      <c r="D2303" s="1" t="str">
        <f>CONCATENATE("2014-2596",CHAR(10),"2014/S 002-0041810 od 05.09.2014.")</f>
        <v>2014-2596
2014/S 002-0041810 od 05.09.2014.</v>
      </c>
      <c r="E2303" s="1" t="s">
        <v>366</v>
      </c>
      <c r="F2303" s="1" t="str">
        <f>"3.472.470,00"</f>
        <v>3.472.470,00</v>
      </c>
      <c r="G2303" s="1" t="str">
        <f>CONCATENATE("25.11.2014.",CHAR(10),"2 godine")</f>
        <v>25.11.2014.
2 godine</v>
      </c>
      <c r="H2303" s="1" t="str">
        <f>CONCATENATE("EOL GRUPA D.O.O., KARLOVAC")</f>
        <v>EOL GRUPA D.O.O., KARLOVAC</v>
      </c>
      <c r="I2303" s="2"/>
      <c r="J2303" s="1"/>
      <c r="K2303" s="1" t="s">
        <v>607</v>
      </c>
    </row>
    <row r="2304" spans="1:11" ht="47.25" x14ac:dyDescent="0.25">
      <c r="A2304" s="1" t="str">
        <f>"890/2014"</f>
        <v>890/2014</v>
      </c>
      <c r="B2304" s="1" t="s">
        <v>136</v>
      </c>
      <c r="C2304" s="1" t="s">
        <v>1070</v>
      </c>
      <c r="D2304" s="1" t="str">
        <f>CONCATENATE("2014-2159",CHAR(10),"2014/S-002-0017097 od 02.04.2014.")</f>
        <v>2014-2159
2014/S-002-0017097 od 02.04.2014.</v>
      </c>
      <c r="E2304" s="1" t="s">
        <v>366</v>
      </c>
      <c r="F2304" s="1" t="str">
        <f>"2.267.353,00"</f>
        <v>2.267.353,00</v>
      </c>
      <c r="G2304" s="1" t="str">
        <f>CONCATENATE("18.11.2014.",CHAR(10),"2 godine")</f>
        <v>18.11.2014.
2 godine</v>
      </c>
      <c r="H2304" s="1" t="str">
        <f>CONCATENATE("BETON-LUČKO RBG, D.O.O., DRNIŠ")</f>
        <v>BETON-LUČKO RBG, D.O.O., DRNIŠ</v>
      </c>
      <c r="I2304" s="2"/>
      <c r="J2304" s="1"/>
      <c r="K2304" s="1" t="s">
        <v>607</v>
      </c>
    </row>
    <row r="2305" spans="1:11" ht="47.25" x14ac:dyDescent="0.25">
      <c r="A2305" s="1" t="str">
        <f>"891/2014"</f>
        <v>891/2014</v>
      </c>
      <c r="B2305" s="1" t="s">
        <v>14</v>
      </c>
      <c r="C2305" s="1" t="s">
        <v>1071</v>
      </c>
      <c r="D2305" s="1" t="str">
        <f>CONCATENATE("1318-2014-EMV",CHAR(10),"2014/S 002-0037978 od 04.08.2014.")</f>
        <v>1318-2014-EMV
2014/S 002-0037978 od 04.08.2014.</v>
      </c>
      <c r="E2305" s="1" t="s">
        <v>15</v>
      </c>
      <c r="F2305" s="1" t="str">
        <f>"1.737.932,60"</f>
        <v>1.737.932,60</v>
      </c>
      <c r="G2305" s="1" t="str">
        <f>CONCATENATE("14.11.2014.",CHAR(10),"90 dana od dana uvođenja u posao")</f>
        <v>14.11.2014.
90 dana od dana uvođenja u posao</v>
      </c>
      <c r="H2305" s="1" t="str">
        <f>CONCATENATE("GIP PIONIR D.O.O., ZAGREB")</f>
        <v>GIP PIONIR D.O.O., ZAGREB</v>
      </c>
      <c r="I2305" s="2"/>
      <c r="J2305" s="1"/>
      <c r="K2305" s="2"/>
    </row>
    <row r="2306" spans="1:11" ht="63" x14ac:dyDescent="0.25">
      <c r="A2306" s="1" t="str">
        <f>"892/2014"</f>
        <v>892/2014</v>
      </c>
      <c r="B2306" s="1" t="s">
        <v>26</v>
      </c>
      <c r="C2306" s="1" t="s">
        <v>1057</v>
      </c>
      <c r="D2306" s="1" t="str">
        <f>"Z-2014-3"</f>
        <v>Z-2014-3</v>
      </c>
      <c r="E2306" s="2"/>
      <c r="F2306" s="1" t="str">
        <f>"21.105,10"</f>
        <v>21.105,10</v>
      </c>
      <c r="G2306" s="1" t="str">
        <f>CONCATENATE("24.11.2014.",CHAR(10),"30.6.2015")</f>
        <v>24.11.2014.
30.6.2015</v>
      </c>
      <c r="H2306" s="1" t="str">
        <f>CONCATENATE("1. Zajednica ponuditelja: ",CHAR(10),"    INSAKO D.O.O., ZAGREB-NOVI ZAGREB",CHAR(10),"    PREMIUM D.O.O., ZAGREB")</f>
        <v>1. Zajednica ponuditelja: 
    INSAKO D.O.O., ZAGREB-NOVI ZAGREB
    PREMIUM D.O.O., ZAGREB</v>
      </c>
      <c r="I2306" s="2"/>
      <c r="J2306" s="1"/>
      <c r="K2306" s="1" t="s">
        <v>607</v>
      </c>
    </row>
    <row r="2307" spans="1:11" ht="47.25" x14ac:dyDescent="0.25">
      <c r="A2307" s="1" t="str">
        <f>"893/2014"</f>
        <v>893/2014</v>
      </c>
      <c r="B2307" s="1" t="s">
        <v>14</v>
      </c>
      <c r="C2307" s="1" t="s">
        <v>1072</v>
      </c>
      <c r="D2307" s="1" t="str">
        <f>CONCATENATE("2014-2295",CHAR(10),"2014/S-002-0039698 od 21.08.2014.")</f>
        <v>2014-2295
2014/S-002-0039698 od 21.08.2014.</v>
      </c>
      <c r="E2307" s="1" t="s">
        <v>15</v>
      </c>
      <c r="F2307" s="1" t="str">
        <f>"397.765,50"</f>
        <v>397.765,50</v>
      </c>
      <c r="G2307" s="1" t="str">
        <f>CONCATENATE("24.11.2014.",CHAR(10),"1 godina od nastanka ugovora")</f>
        <v>24.11.2014.
1 godina od nastanka ugovora</v>
      </c>
      <c r="H2307" s="1" t="str">
        <f>CONCATENATE("1. Zajednica ponuditelja: ",CHAR(10),"    BRACO KOP D.O.O., ZAGREB",CHAR(10),"    MONTING D.O.O., ZAGREB")</f>
        <v>1. Zajednica ponuditelja: 
    BRACO KOP D.O.O., ZAGREB
    MONTING D.O.O., ZAGREB</v>
      </c>
      <c r="I2307" s="2"/>
      <c r="J2307" s="1"/>
      <c r="K2307" s="1" t="s">
        <v>607</v>
      </c>
    </row>
    <row r="2308" spans="1:11" ht="47.25" x14ac:dyDescent="0.25">
      <c r="A2308" s="1" t="str">
        <f>"894/2014"</f>
        <v>894/2014</v>
      </c>
      <c r="B2308" s="1" t="s">
        <v>14</v>
      </c>
      <c r="C2308" s="1" t="s">
        <v>1073</v>
      </c>
      <c r="D2308" s="1" t="str">
        <f>CONCATENATE("1238-2014-EMV",CHAR(10),"2014/S 002-0026907 od 30.05.2014.")</f>
        <v>1238-2014-EMV
2014/S 002-0026907 od 30.05.2014.</v>
      </c>
      <c r="E2308" s="1" t="s">
        <v>15</v>
      </c>
      <c r="F2308" s="1" t="str">
        <f>"536.742,56"</f>
        <v>536.742,56</v>
      </c>
      <c r="G2308" s="1" t="str">
        <f>CONCATENATE("24.11.2014.",CHAR(10),"6 mjeseci od dana uvođenja u posao")</f>
        <v>24.11.2014.
6 mjeseci od dana uvođenja u posao</v>
      </c>
      <c r="H2308" s="1" t="str">
        <f>CONCATENATE("HEDOM D.O.O., ZAGREB")</f>
        <v>HEDOM D.O.O., ZAGREB</v>
      </c>
      <c r="I2308" s="2"/>
      <c r="J2308" s="1"/>
      <c r="K2308" s="2"/>
    </row>
    <row r="2309" spans="1:11" ht="47.25" x14ac:dyDescent="0.25">
      <c r="A2309" s="1" t="str">
        <f>"895/2014"</f>
        <v>895/2014</v>
      </c>
      <c r="B2309" s="1" t="s">
        <v>14</v>
      </c>
      <c r="C2309" s="1" t="s">
        <v>1074</v>
      </c>
      <c r="D2309" s="1" t="str">
        <f>CONCATENATE("2939-2014-EMV",CHAR(10),"2014/S 002-0041966 od 08.09.2014.")</f>
        <v>2939-2014-EMV
2014/S 002-0041966 od 08.09.2014.</v>
      </c>
      <c r="E2309" s="1" t="s">
        <v>15</v>
      </c>
      <c r="F2309" s="1" t="str">
        <f>"408.835,40"</f>
        <v>408.835,40</v>
      </c>
      <c r="G2309" s="1" t="str">
        <f>CONCATENATE("24.11.2014.",CHAR(10),"60 dana od dana obostranog potpisa Ugovora")</f>
        <v>24.11.2014.
60 dana od dana obostranog potpisa Ugovora</v>
      </c>
      <c r="H2309" s="1" t="str">
        <f>CONCATENATE("HEBE D.O.O., SPLIT")</f>
        <v>HEBE D.O.O., SPLIT</v>
      </c>
      <c r="I2309" s="1" t="s">
        <v>165</v>
      </c>
      <c r="J2309" s="1" t="str">
        <f>SUBSTITUTE(SUBSTITUTE(SUBSTITUTE("511,044.25",".","-"),",","."),"-",",")</f>
        <v>511.044,25</v>
      </c>
      <c r="K2309" s="2"/>
    </row>
    <row r="2310" spans="1:11" ht="47.25" x14ac:dyDescent="0.25">
      <c r="A2310" s="1" t="str">
        <f>"896/2014"</f>
        <v>896/2014</v>
      </c>
      <c r="B2310" s="1" t="s">
        <v>14</v>
      </c>
      <c r="C2310" s="1" t="s">
        <v>1075</v>
      </c>
      <c r="D2310" s="1" t="str">
        <f>CONCATENATE("2938-2014-EMV",CHAR(10),"2014/S 002-0041974 od 08.09.2014.")</f>
        <v>2938-2014-EMV
2014/S 002-0041974 od 08.09.2014.</v>
      </c>
      <c r="E2310" s="1" t="s">
        <v>15</v>
      </c>
      <c r="F2310" s="1" t="str">
        <f>"956.607,60"</f>
        <v>956.607,60</v>
      </c>
      <c r="G2310" s="1" t="str">
        <f>CONCATENATE("24.11.2014.",CHAR(10),"60 dana od dana obostranog potpisa Ugovora")</f>
        <v>24.11.2014.
60 dana od dana obostranog potpisa Ugovora</v>
      </c>
      <c r="H2310" s="1" t="str">
        <f>CONCATENATE("HEBE D.O.O., SPLIT")</f>
        <v>HEBE D.O.O., SPLIT</v>
      </c>
      <c r="I2310" s="1" t="s">
        <v>165</v>
      </c>
      <c r="J2310" s="1" t="str">
        <f>SUBSTITUTE(SUBSTITUTE(SUBSTITUTE("1,195,759.50",".","-"),",","."),"-",",")</f>
        <v>1.195.759,50</v>
      </c>
      <c r="K2310" s="2"/>
    </row>
    <row r="2311" spans="1:11" ht="47.25" x14ac:dyDescent="0.25">
      <c r="A2311" s="1" t="str">
        <f>"897/2014"</f>
        <v>897/2014</v>
      </c>
      <c r="B2311" s="1" t="s">
        <v>14</v>
      </c>
      <c r="C2311" s="1" t="s">
        <v>1076</v>
      </c>
      <c r="D2311" s="1" t="str">
        <f>CONCATENATE("472-2014-EMV",CHAR(10),"2014/S 002-0037755 od 04.08.2014.")</f>
        <v>472-2014-EMV
2014/S 002-0037755 od 04.08.2014.</v>
      </c>
      <c r="E2311" s="1" t="s">
        <v>15</v>
      </c>
      <c r="F2311" s="1" t="str">
        <f>"1.105.373,21"</f>
        <v>1.105.373,21</v>
      </c>
      <c r="G2311" s="1" t="str">
        <f>CONCATENATE("24.11.2014.",CHAR(10),"120 dana od dana uvođenja u posao")</f>
        <v>24.11.2014.
120 dana od dana uvođenja u posao</v>
      </c>
      <c r="H2311" s="1" t="str">
        <f>CONCATENATE("ELEKTRO JAKLIĆ OBRT ZA USLUGE I TRGOVINU VL. SINIŠA JAKLIĆ, ZAGREB")</f>
        <v>ELEKTRO JAKLIĆ OBRT ZA USLUGE I TRGOVINU VL. SINIŠA JAKLIĆ, ZAGREB</v>
      </c>
      <c r="I2311" s="2"/>
      <c r="J2311" s="1"/>
      <c r="K2311" s="2"/>
    </row>
    <row r="2312" spans="1:11" ht="47.25" x14ac:dyDescent="0.25">
      <c r="A2312" s="1" t="str">
        <f>"898/2014"</f>
        <v>898/2014</v>
      </c>
      <c r="B2312" s="1" t="s">
        <v>14</v>
      </c>
      <c r="C2312" s="1" t="s">
        <v>1077</v>
      </c>
      <c r="D2312" s="1" t="str">
        <f>CONCATENATE("477-2014-EMV",CHAR(10),"2014/S 002-0036624 od 28.07.2014.")</f>
        <v>477-2014-EMV
2014/S 002-0036624 od 28.07.2014.</v>
      </c>
      <c r="E2312" s="1" t="s">
        <v>15</v>
      </c>
      <c r="F2312" s="1" t="str">
        <f>"600.977,00"</f>
        <v>600.977,00</v>
      </c>
      <c r="G2312" s="1" t="str">
        <f>CONCATENATE("24.11.2014.",CHAR(10),"60 dana od dana uvođenja u posao")</f>
        <v>24.11.2014.
60 dana od dana uvođenja u posao</v>
      </c>
      <c r="H2312" s="1" t="str">
        <f>CONCATENATE("O.K.I. MONT D.O.O., ZAGREB")</f>
        <v>O.K.I. MONT D.O.O., ZAGREB</v>
      </c>
      <c r="I2312" s="2"/>
      <c r="J2312" s="1"/>
      <c r="K2312" s="2"/>
    </row>
    <row r="2313" spans="1:11" ht="78.75" x14ac:dyDescent="0.25">
      <c r="A2313" s="1" t="str">
        <f>"899/2014"</f>
        <v>899/2014</v>
      </c>
      <c r="B2313" s="1" t="s">
        <v>26</v>
      </c>
      <c r="C2313" s="1" t="s">
        <v>2884</v>
      </c>
      <c r="D2313" s="1" t="str">
        <f>"378-2012-EVV-2"</f>
        <v>378-2012-EVV-2</v>
      </c>
      <c r="E2313" s="2"/>
      <c r="F2313" s="1" t="str">
        <f>"1.019.371,00"</f>
        <v>1.019.371,00</v>
      </c>
      <c r="G2313" s="1" t="str">
        <f>CONCATENATE("19.11.2014.",CHAR(10),"12 mjeseci")</f>
        <v>19.11.2014.
12 mjeseci</v>
      </c>
      <c r="H2313" s="1" t="str">
        <f>CONCATENATE("IGO-MAT D.O.O., BREGANA")</f>
        <v>IGO-MAT D.O.O., BREGANA</v>
      </c>
      <c r="I2313" s="2"/>
      <c r="J2313" s="1"/>
      <c r="K2313" s="2"/>
    </row>
    <row r="2314" spans="1:11" ht="78.75" x14ac:dyDescent="0.25">
      <c r="A2314" s="1" t="str">
        <f>"900/2014"</f>
        <v>900/2014</v>
      </c>
      <c r="B2314" s="1" t="s">
        <v>26</v>
      </c>
      <c r="C2314" s="1" t="s">
        <v>2885</v>
      </c>
      <c r="D2314" s="1" t="str">
        <f>"378-2012-EVV-2"</f>
        <v>378-2012-EVV-2</v>
      </c>
      <c r="E2314" s="2"/>
      <c r="F2314" s="1" t="str">
        <f>"1.160.023,00"</f>
        <v>1.160.023,00</v>
      </c>
      <c r="G2314" s="1" t="str">
        <f>CONCATENATE("19.11.2014.",CHAR(10),"12 mjeseci")</f>
        <v>19.11.2014.
12 mjeseci</v>
      </c>
      <c r="H2314" s="1" t="str">
        <f>CONCATENATE("IGO-MAT D.O.O., BREGANA")</f>
        <v>IGO-MAT D.O.O., BREGANA</v>
      </c>
      <c r="I2314" s="2"/>
      <c r="J2314" s="1"/>
      <c r="K2314" s="2"/>
    </row>
    <row r="2315" spans="1:11" ht="78.75" x14ac:dyDescent="0.25">
      <c r="A2315" s="1" t="str">
        <f>"901/2014"</f>
        <v>901/2014</v>
      </c>
      <c r="B2315" s="1" t="s">
        <v>26</v>
      </c>
      <c r="C2315" s="1" t="s">
        <v>2886</v>
      </c>
      <c r="D2315" s="1" t="str">
        <f>"378-2012-EVV-2"</f>
        <v>378-2012-EVV-2</v>
      </c>
      <c r="E2315" s="2"/>
      <c r="F2315" s="1" t="str">
        <f>"1.025.523,00"</f>
        <v>1.025.523,00</v>
      </c>
      <c r="G2315" s="1" t="str">
        <f>CONCATENATE("19.11.2014.",CHAR(10),"12 mjeseci")</f>
        <v>19.11.2014.
12 mjeseci</v>
      </c>
      <c r="H2315" s="1" t="str">
        <f>CONCATENATE("IGO-MAT D.O.O., BREGANA")</f>
        <v>IGO-MAT D.O.O., BREGANA</v>
      </c>
      <c r="I2315" s="2"/>
      <c r="J2315" s="1"/>
      <c r="K2315" s="2"/>
    </row>
    <row r="2316" spans="1:11" ht="63" x14ac:dyDescent="0.25">
      <c r="A2316" s="1" t="str">
        <f>"902/2014"</f>
        <v>902/2014</v>
      </c>
      <c r="B2316" s="1" t="s">
        <v>26</v>
      </c>
      <c r="C2316" s="1" t="s">
        <v>2887</v>
      </c>
      <c r="D2316" s="1" t="str">
        <f>"378-2012-EVV-2"</f>
        <v>378-2012-EVV-2</v>
      </c>
      <c r="E2316" s="2"/>
      <c r="F2316" s="1" t="str">
        <f>"746.367,00"</f>
        <v>746.367,00</v>
      </c>
      <c r="G2316" s="1" t="str">
        <f>CONCATENATE("19.11.2014.",CHAR(10),"12 mjeseci")</f>
        <v>19.11.2014.
12 mjeseci</v>
      </c>
      <c r="H2316" s="1" t="str">
        <f>CONCATENATE("IGO-MAT D.O.O., BREGANA")</f>
        <v>IGO-MAT D.O.O., BREGANA</v>
      </c>
      <c r="I2316" s="2"/>
      <c r="J2316" s="1"/>
      <c r="K2316" s="2"/>
    </row>
    <row r="2317" spans="1:11" ht="78.75" x14ac:dyDescent="0.25">
      <c r="A2317" s="1" t="str">
        <f>"A-137/2014"</f>
        <v>A-137/2014</v>
      </c>
      <c r="B2317" s="1" t="s">
        <v>11</v>
      </c>
      <c r="C2317" s="1" t="s">
        <v>1078</v>
      </c>
      <c r="D2317" s="1" t="str">
        <f>"1608-2014-EMV"</f>
        <v>1608-2014-EMV</v>
      </c>
      <c r="E2317" s="2"/>
      <c r="F2317" s="1" t="str">
        <f>"0,00"</f>
        <v>0,00</v>
      </c>
      <c r="G2317" s="1" t="str">
        <f>"14.11.2014."</f>
        <v>14.11.2014.</v>
      </c>
      <c r="H2317" s="1" t="str">
        <f>CONCATENATE("1. Zajednica ponuditelja: ",CHAR(10),"    ING EKSPERT D.O.O., ZAGREB",CHAR(10),"    H5 D.O.O,., BELOVAR",CHAR(10),"    ELVING PROJEKTIRANJE D.O.O., NOVI MAROF")</f>
        <v>1. Zajednica ponuditelja: 
    ING EKSPERT D.O.O., ZAGREB
    H5 D.O.O,., BELOVAR
    ELVING PROJEKTIRANJE D.O.O., NOVI MAROF</v>
      </c>
      <c r="I2317" s="2"/>
      <c r="J2317" s="1"/>
      <c r="K2317" s="2"/>
    </row>
    <row r="2318" spans="1:11" ht="47.25" x14ac:dyDescent="0.25">
      <c r="A2318" s="1" t="str">
        <f>"903/2014"</f>
        <v>903/2014</v>
      </c>
      <c r="B2318" s="1" t="s">
        <v>136</v>
      </c>
      <c r="C2318" s="1" t="s">
        <v>1079</v>
      </c>
      <c r="D2318" s="1" t="str">
        <f>CONCATENATE("244-2014-EVV",CHAR(10),"2014/S-002-0044350 od 23.09.2014.")</f>
        <v>244-2014-EVV
2014/S-002-0044350 od 23.09.2014.</v>
      </c>
      <c r="E2318" s="1" t="s">
        <v>366</v>
      </c>
      <c r="F2318" s="1" t="str">
        <f>"2.438.984,30"</f>
        <v>2.438.984,30</v>
      </c>
      <c r="G2318" s="1" t="str">
        <f>CONCATENATE("26.11.2014.",CHAR(10),"2 GODINE")</f>
        <v>26.11.2014.
2 GODINE</v>
      </c>
      <c r="H2318" s="1" t="str">
        <f>CONCATENATE("COMPING D.O.O., ZAGREB")</f>
        <v>COMPING D.O.O., ZAGREB</v>
      </c>
      <c r="I2318" s="2"/>
      <c r="J2318" s="1"/>
      <c r="K2318" s="2"/>
    </row>
    <row r="2319" spans="1:11" ht="126" x14ac:dyDescent="0.25">
      <c r="A2319" s="1" t="str">
        <f>"904/2014"</f>
        <v>904/2014</v>
      </c>
      <c r="B2319" s="1" t="s">
        <v>136</v>
      </c>
      <c r="C2319" s="1" t="s">
        <v>1080</v>
      </c>
      <c r="D2319" s="1" t="str">
        <f>CONCATENATE("2014-155",CHAR(10),"2014/S 002-0031033 od 24.6.2014.,  te ispravkama objave broj: 2014/S 014-0036612 od 28.7.2014 i  ispravak objave 2014/S 014-0038309 od 07.08.2014.")</f>
        <v>2014-155
2014/S 002-0031033 od 24.6.2014.,  te ispravkama objave broj: 2014/S 014-0036612 od 28.7.2014 i  ispravak objave 2014/S 014-0038309 od 07.08.2014.</v>
      </c>
      <c r="E2319" s="1" t="s">
        <v>366</v>
      </c>
      <c r="F2319" s="1" t="str">
        <f>"2.425.388,83"</f>
        <v>2.425.388,83</v>
      </c>
      <c r="G2319" s="1" t="str">
        <f>CONCATENATE("26.11.2014.",CHAR(10),"2 godine")</f>
        <v>26.11.2014.
2 godine</v>
      </c>
      <c r="H2319" s="1" t="str">
        <f>CONCATENATE("TURBO-ZG D.O.O., ZAGREB")</f>
        <v>TURBO-ZG D.O.O., ZAGREB</v>
      </c>
      <c r="I2319" s="2"/>
      <c r="J2319" s="1"/>
      <c r="K2319" s="1" t="s">
        <v>607</v>
      </c>
    </row>
    <row r="2320" spans="1:11" ht="78.75" x14ac:dyDescent="0.25">
      <c r="A2320" s="1" t="str">
        <f>"905/2014"</f>
        <v>905/2014</v>
      </c>
      <c r="B2320" s="1" t="s">
        <v>14</v>
      </c>
      <c r="C2320" s="1" t="s">
        <v>1081</v>
      </c>
      <c r="D2320" s="1" t="str">
        <f>CONCATENATE("206-2014-EMV",CHAR(10),"2014/S 002-0033765 od 10.7.2014., te ispravak objave broj 2014/S 014-0036693 od 28.07.2014.")</f>
        <v>206-2014-EMV
2014/S 002-0033765 od 10.7.2014., te ispravak objave broj 2014/S 014-0036693 od 28.07.2014.</v>
      </c>
      <c r="E2320" s="1" t="s">
        <v>15</v>
      </c>
      <c r="F2320" s="1" t="str">
        <f>"388.530,00"</f>
        <v>388.530,00</v>
      </c>
      <c r="G2320" s="1" t="str">
        <f>CONCATENATE("26.11.2014.",CHAR(10),"180 dana računajući od dana uvođenja u posao")</f>
        <v>26.11.2014.
180 dana računajući od dana uvođenja u posao</v>
      </c>
      <c r="H2320" s="1" t="str">
        <f>CONCATENATE("ABSOLUTE D.O.O., ZAGREB")</f>
        <v>ABSOLUTE D.O.O., ZAGREB</v>
      </c>
      <c r="I2320" s="2"/>
      <c r="J2320" s="1"/>
      <c r="K2320" s="2"/>
    </row>
    <row r="2321" spans="1:11" ht="47.25" x14ac:dyDescent="0.25">
      <c r="A2321" s="1" t="str">
        <f>"906/2014"</f>
        <v>906/2014</v>
      </c>
      <c r="B2321" s="1" t="s">
        <v>14</v>
      </c>
      <c r="C2321" s="1" t="s">
        <v>1082</v>
      </c>
      <c r="D2321" s="1" t="str">
        <f>CONCATENATE("2014-2294",CHAR(10),"2014/S-002-0027603 od 03.06.2014.")</f>
        <v>2014-2294
2014/S-002-0027603 od 03.06.2014.</v>
      </c>
      <c r="E2321" s="1" t="s">
        <v>15</v>
      </c>
      <c r="F2321" s="1" t="str">
        <f>"1.793.030,00"</f>
        <v>1.793.030,00</v>
      </c>
      <c r="G2321" s="1" t="str">
        <f>CONCATENATE("27.11.2014.",CHAR(10),"1 godina")</f>
        <v>27.11.2014.
1 godina</v>
      </c>
      <c r="H2321" s="1" t="str">
        <f>CONCATENATE("GRADATIN D.O.O., SESVETE")</f>
        <v>GRADATIN D.O.O., SESVETE</v>
      </c>
      <c r="I2321" s="2"/>
      <c r="J2321" s="1"/>
      <c r="K2321" s="1" t="s">
        <v>607</v>
      </c>
    </row>
    <row r="2322" spans="1:11" ht="409.5" x14ac:dyDescent="0.25">
      <c r="A2322" s="1" t="str">
        <f>"907/2014"</f>
        <v>907/2014</v>
      </c>
      <c r="B2322" s="1" t="s">
        <v>136</v>
      </c>
      <c r="C2322" s="1" t="s">
        <v>1083</v>
      </c>
      <c r="D2322" s="1" t="str">
        <f>CONCATENATE("2014-2199",CHAR(10),"2014/S 002-0018854 od 10.04.2014.")</f>
        <v>2014-2199
2014/S 002-0018854 od 10.04.2014.</v>
      </c>
      <c r="E2322" s="1" t="s">
        <v>366</v>
      </c>
      <c r="F2322" s="1" t="str">
        <f>"4.416.000,00"</f>
        <v>4.416.000,00</v>
      </c>
      <c r="G2322" s="1" t="str">
        <f>CONCATENATE("27.11.2014.",CHAR(10),"2 godine")</f>
        <v>27.11.2014.
2 godine</v>
      </c>
      <c r="H2322" s="1" t="str">
        <f>CONCATENATE("1. Zajednica ponuditelja: ",CHAR(10),"    I.B. JAZBINA, ZAGREB",CHAR(10),"    BEŠIĆ - PROM D.O.O., ZAGREB",CHAR(10),"    VIB OBRT ZA PRIJEVOZ I USLUGE VL. VELIMIR ŠANTOLIĆ, ZAGREB",CHAR(10),"    AUTOPRIJEVOZNIK I USLUGE GRAĐEVINSKOM MEHANIZACIJOM VL. ŽELJKO SMOLKOVIĆ, ZAGREB",CHAR(10),"    CEROGRAD D.O.O., DONJI DRAGONOŽEC",CHAR(10),"    AUTOPRIJEVOZNIČKI I USLUŽNI OBRT VL. ZVONIMIR RADOEVIĆ, ZAGREB",CHAR(10),"    AUTOPRIJEVOZ-NISKOGRADNJA BIRKIĆ, ZAGREB",CHAR(10),"    AUTOPRIJEVOZ-GRAĐEVINSKA MEHANIZACIJA, VELIKA GORICA",CHAR(10),"    BISTRA-KOP OBRT ZA AUTOPRIJEVOZ, RAD GRAĐEVINSKIM STROJEVIMA I IZGRADNJU PROMETNIH OBJEKATA VL. BRATISLAV ŠKRLIN-BATINA, DONJA BISTRA, BUKOVJE BISTRANSKO",CHAR(10),"    ZELINA PROMET D.O.O., DONJA ZELINA",CHAR(10),"    GRADNJA I TRGOVINA GAJ D.O.O., ZAGREB",CHAR(10),"    KOM-EKO D.O.O., ZAGREB",CHAR(10),"    LE-GO GRADNJA D.O.O., SVETI IVAN ZELINA")</f>
        <v>1. Zajednica ponuditelja: 
    I.B. JAZBINA, ZAGREB
    BEŠIĆ - PROM D.O.O., ZAGREB
    VIB OBRT ZA PRIJEVOZ I USLUGE VL. VELIMIR ŠANTOLIĆ, ZAGREB
    AUTOPRIJEVOZNIK I USLUGE GRAĐEVINSKOM MEHANIZACIJOM VL. ŽELJKO SMOLKOVIĆ, ZAGREB
    CEROGRAD D.O.O., DONJI DRAGONOŽEC
    AUTOPRIJEVOZNIČKI I USLUŽNI OBRT VL. ZVONIMIR RADOEVIĆ, ZAGREB
    AUTOPRIJEVOZ-NISKOGRADNJA BIRKIĆ, ZAGREB
    AUTOPRIJEVOZ-GRAĐEVINSKA MEHANIZACIJA, VELIKA GORICA
    BISTRA-KOP OBRT ZA AUTOPRIJEVOZ, RAD GRAĐEVINSKIM STROJEVIMA I IZGRADNJU PROMETNIH OBJEKATA VL. BRATISLAV ŠKRLIN-BATINA, DONJA BISTRA, BUKOVJE BISTRANSKO
    ZELINA PROMET D.O.O., DONJA ZELINA
    GRADNJA I TRGOVINA GAJ D.O.O., ZAGREB
    KOM-EKO D.O.O., ZAGREB
    LE-GO GRADNJA D.O.O., SVETI IVAN ZELINA</v>
      </c>
      <c r="I2322" s="2"/>
      <c r="J2322" s="1"/>
      <c r="K2322" s="1" t="s">
        <v>607</v>
      </c>
    </row>
    <row r="2323" spans="1:11" ht="63" x14ac:dyDescent="0.25">
      <c r="A2323" s="1" t="str">
        <f>"908/2014"</f>
        <v>908/2014</v>
      </c>
      <c r="B2323" s="1" t="s">
        <v>14</v>
      </c>
      <c r="C2323" s="1" t="s">
        <v>1084</v>
      </c>
      <c r="D2323" s="1" t="str">
        <f>CONCATENATE("1609-2014-EMV",CHAR(10),"2014/S 002-0030847 od 23.06.2014.")</f>
        <v>1609-2014-EMV
2014/S 002-0030847 od 23.06.2014.</v>
      </c>
      <c r="E2323" s="1" t="s">
        <v>15</v>
      </c>
      <c r="F2323" s="1" t="str">
        <f>"1.022.000,00"</f>
        <v>1.022.000,00</v>
      </c>
      <c r="G2323" s="1" t="str">
        <f>CONCATENATE("27.11.2014.",CHAR(10),"180 dana")</f>
        <v>27.11.2014.
180 dana</v>
      </c>
      <c r="H2323" s="1" t="str">
        <f>CONCATENATE("1. Zajednica ponuditelja: ",CHAR(10),"    IPT-INŽENJERING D.O.O., ZAGREB",CHAR(10),"    DALEKOVOD-PROJEKT D.O.O., ZAGREB")</f>
        <v>1. Zajednica ponuditelja: 
    IPT-INŽENJERING D.O.O., ZAGREB
    DALEKOVOD-PROJEKT D.O.O., ZAGREB</v>
      </c>
      <c r="I2323" s="2"/>
      <c r="J2323" s="1"/>
      <c r="K2323" s="2"/>
    </row>
    <row r="2324" spans="1:11" ht="63" x14ac:dyDescent="0.25">
      <c r="A2324" s="1" t="str">
        <f>"A-138/2014"</f>
        <v>A-138/2014</v>
      </c>
      <c r="B2324" s="1" t="s">
        <v>11</v>
      </c>
      <c r="C2324" s="1" t="s">
        <v>1085</v>
      </c>
      <c r="D2324" s="1" t="str">
        <f>"1468-2013-EMV"</f>
        <v>1468-2013-EMV</v>
      </c>
      <c r="E2324" s="2"/>
      <c r="F2324" s="1" t="str">
        <f>"0,00"</f>
        <v>0,00</v>
      </c>
      <c r="G2324" s="1" t="str">
        <f>CONCATENATE("27.11.2014.",CHAR(10),"31.1.2015")</f>
        <v>27.11.2014.
31.1.2015</v>
      </c>
      <c r="H2324" s="1" t="str">
        <f>CONCATENATE("V GRUPA D.O.O., ZAGREB")</f>
        <v>V GRUPA D.O.O., ZAGREB</v>
      </c>
      <c r="I2324" s="2"/>
      <c r="J2324" s="1"/>
      <c r="K2324" s="2"/>
    </row>
    <row r="2325" spans="1:11" ht="47.25" x14ac:dyDescent="0.25">
      <c r="A2325" s="1" t="str">
        <f>"909/2014"</f>
        <v>909/2014</v>
      </c>
      <c r="B2325" s="1" t="s">
        <v>136</v>
      </c>
      <c r="C2325" s="1" t="s">
        <v>1086</v>
      </c>
      <c r="D2325" s="1" t="str">
        <f>CONCATENATE("2014-2458",CHAR(10),"2014/S 002-0041338 od 03.09.2014.")</f>
        <v>2014-2458
2014/S 002-0041338 od 03.09.2014.</v>
      </c>
      <c r="E2325" s="1" t="s">
        <v>366</v>
      </c>
      <c r="F2325" s="1" t="str">
        <f>"33.589.265,00"</f>
        <v>33.589.265,00</v>
      </c>
      <c r="G2325" s="1" t="str">
        <f>CONCATENATE("28.11.2014.",CHAR(10),"2 godine")</f>
        <v>28.11.2014.
2 godine</v>
      </c>
      <c r="H2325" s="1" t="str">
        <f>CONCATENATE("USLUGA D.O.O., PAKRAC")</f>
        <v>USLUGA D.O.O., PAKRAC</v>
      </c>
      <c r="I2325" s="2"/>
      <c r="J2325" s="1"/>
      <c r="K2325" s="1" t="s">
        <v>607</v>
      </c>
    </row>
    <row r="2326" spans="1:11" ht="94.5" x14ac:dyDescent="0.25">
      <c r="A2326" s="1" t="str">
        <f>"910/2014"</f>
        <v>910/2014</v>
      </c>
      <c r="B2326" s="1" t="s">
        <v>26</v>
      </c>
      <c r="C2326" s="1" t="s">
        <v>1087</v>
      </c>
      <c r="D2326" s="1" t="str">
        <f t="shared" ref="D2326:D2336" si="23">"Z-2014-14"</f>
        <v>Z-2014-14</v>
      </c>
      <c r="E2326" s="2"/>
      <c r="F2326" s="1" t="str">
        <f>"1.152.966,50"</f>
        <v>1.152.966,50</v>
      </c>
      <c r="G2326" s="1" t="str">
        <f t="shared" ref="G2326:G2336" si="24">CONCATENATE("26.11.2014.",CHAR(10),"31.3.2015")</f>
        <v>26.11.2014.
31.3.2015</v>
      </c>
      <c r="H2326" s="1" t="str">
        <f>CONCATENATE("1. Zajednica ponuditelja: ",CHAR(10),"    PRIGORAC-GRAĐENJE D.O.O., SESVETE",CHAR(10),"    PARTNER KOP D.O.O., ZAGREB",CHAR(10),"    BOLČEVIĆ GRADNJA D.O.O., SESVETE-KRALJEVEC")</f>
        <v>1. Zajednica ponuditelja: 
    PRIGORAC-GRAĐENJE D.O.O., SESVETE
    PARTNER KOP D.O.O., ZAGREB
    BOLČEVIĆ GRADNJA D.O.O., SESVETE-KRALJEVEC</v>
      </c>
      <c r="I2326" s="2"/>
      <c r="J2326" s="1"/>
      <c r="K2326" s="1" t="s">
        <v>607</v>
      </c>
    </row>
    <row r="2327" spans="1:11" ht="78.75" x14ac:dyDescent="0.25">
      <c r="A2327" s="1" t="str">
        <f>"911/2014"</f>
        <v>911/2014</v>
      </c>
      <c r="B2327" s="1" t="s">
        <v>26</v>
      </c>
      <c r="C2327" s="1" t="s">
        <v>1088</v>
      </c>
      <c r="D2327" s="1" t="str">
        <f t="shared" si="23"/>
        <v>Z-2014-14</v>
      </c>
      <c r="E2327" s="2"/>
      <c r="F2327" s="1" t="str">
        <f>"1.282.912,00"</f>
        <v>1.282.912,00</v>
      </c>
      <c r="G2327" s="1" t="str">
        <f t="shared" si="24"/>
        <v>26.11.2014.
31.3.2015</v>
      </c>
      <c r="H2327" s="1" t="str">
        <f>CONCATENATE("1. Zajednica ponuditelja: ",CHAR(10),"    GRADITELJ SVRATIŠTA D.O.O., ZAGREB",CHAR(10),"    AUTOPRIJEVOZNIK ZLATKO TOMAŠINEC, ZAGREB")</f>
        <v>1. Zajednica ponuditelja: 
    GRADITELJ SVRATIŠTA D.O.O., ZAGREB
    AUTOPRIJEVOZNIK ZLATKO TOMAŠINEC, ZAGREB</v>
      </c>
      <c r="I2327" s="2"/>
      <c r="J2327" s="1"/>
      <c r="K2327" s="1" t="s">
        <v>607</v>
      </c>
    </row>
    <row r="2328" spans="1:11" ht="110.25" x14ac:dyDescent="0.25">
      <c r="A2328" s="1" t="str">
        <f>"912/2014"</f>
        <v>912/2014</v>
      </c>
      <c r="B2328" s="1" t="s">
        <v>26</v>
      </c>
      <c r="C2328" s="1" t="s">
        <v>1089</v>
      </c>
      <c r="D2328" s="1" t="str">
        <f t="shared" si="23"/>
        <v>Z-2014-14</v>
      </c>
      <c r="E2328" s="2"/>
      <c r="F2328" s="1" t="str">
        <f>"1.183.986,92"</f>
        <v>1.183.986,92</v>
      </c>
      <c r="G2328" s="1" t="str">
        <f t="shared" si="24"/>
        <v>26.11.2014.
31.3.2015</v>
      </c>
      <c r="H2328" s="1" t="str">
        <f>CONCATENATE("1. Zajednica ponuditelja: ",CHAR(10),"    PMB-BAUTRANS D.O.O., BELOVAR",CHAR(10),"    ZELINA PROMET D.O.O., DONJA ZELINA",CHAR(10),"    PAJ-PROMET D.O.O., BELOVAR",CHAR(10),"    PAN-PVG SERVIS D.O.O., BELOVAR",CHAR(10),"    5-KA D.O.O., ZAGREB")</f>
        <v>1. Zajednica ponuditelja: 
    PMB-BAUTRANS D.O.O., BELOVAR
    ZELINA PROMET D.O.O., DONJA ZELINA
    PAJ-PROMET D.O.O., BELOVAR
    PAN-PVG SERVIS D.O.O., BELOVAR
    5-KA D.O.O., ZAGREB</v>
      </c>
      <c r="I2328" s="2"/>
      <c r="J2328" s="1"/>
      <c r="K2328" s="1" t="s">
        <v>607</v>
      </c>
    </row>
    <row r="2329" spans="1:11" ht="94.5" x14ac:dyDescent="0.25">
      <c r="A2329" s="1" t="str">
        <f>"913/2014"</f>
        <v>913/2014</v>
      </c>
      <c r="B2329" s="1" t="s">
        <v>26</v>
      </c>
      <c r="C2329" s="1" t="s">
        <v>1090</v>
      </c>
      <c r="D2329" s="1" t="str">
        <f t="shared" si="23"/>
        <v>Z-2014-14</v>
      </c>
      <c r="E2329" s="2"/>
      <c r="F2329" s="1" t="str">
        <f>"1.220.750,00"</f>
        <v>1.220.750,00</v>
      </c>
      <c r="G2329" s="1" t="str">
        <f t="shared" si="24"/>
        <v>26.11.2014.
31.3.2015</v>
      </c>
      <c r="H2329" s="1" t="str">
        <f>CONCATENATE("BISTRA-KOP OBRT ZA AUTOPRIJEVOZ, RAD GRAĐEVINSKIM STROJEVIMA I IZGRADNJU PROMETNIH OBJEKATA VL. BRATISLAV ŠKRLIN-BATINA, DONJA BISTRA, BUKOVJE BISTRANSKO")</f>
        <v>BISTRA-KOP OBRT ZA AUTOPRIJEVOZ, RAD GRAĐEVINSKIM STROJEVIMA I IZGRADNJU PROMETNIH OBJEKATA VL. BRATISLAV ŠKRLIN-BATINA, DONJA BISTRA, BUKOVJE BISTRANSKO</v>
      </c>
      <c r="I2329" s="2"/>
      <c r="J2329" s="1"/>
      <c r="K2329" s="1" t="s">
        <v>607</v>
      </c>
    </row>
    <row r="2330" spans="1:11" ht="47.25" x14ac:dyDescent="0.25">
      <c r="A2330" s="1" t="str">
        <f>"914/2014"</f>
        <v>914/2014</v>
      </c>
      <c r="B2330" s="1" t="s">
        <v>26</v>
      </c>
      <c r="C2330" s="1" t="s">
        <v>1091</v>
      </c>
      <c r="D2330" s="1" t="str">
        <f t="shared" si="23"/>
        <v>Z-2014-14</v>
      </c>
      <c r="E2330" s="2"/>
      <c r="F2330" s="1" t="str">
        <f>"1.744.490,00"</f>
        <v>1.744.490,00</v>
      </c>
      <c r="G2330" s="1" t="str">
        <f t="shared" si="24"/>
        <v>26.11.2014.
31.3.2015</v>
      </c>
      <c r="H2330" s="1" t="str">
        <f>CONCATENATE("GRADNJA I TRGOVINA GAJ D.O.O., ZAGREB")</f>
        <v>GRADNJA I TRGOVINA GAJ D.O.O., ZAGREB</v>
      </c>
      <c r="I2330" s="2"/>
      <c r="J2330" s="1"/>
      <c r="K2330" s="1" t="s">
        <v>607</v>
      </c>
    </row>
    <row r="2331" spans="1:11" ht="94.5" x14ac:dyDescent="0.25">
      <c r="A2331" s="1" t="str">
        <f>"915/2014"</f>
        <v>915/2014</v>
      </c>
      <c r="B2331" s="1" t="s">
        <v>26</v>
      </c>
      <c r="C2331" s="1" t="s">
        <v>1092</v>
      </c>
      <c r="D2331" s="1" t="str">
        <f t="shared" si="23"/>
        <v>Z-2014-14</v>
      </c>
      <c r="E2331" s="2"/>
      <c r="F2331" s="1" t="str">
        <f>"825.783,00"</f>
        <v>825.783,00</v>
      </c>
      <c r="G2331" s="1" t="str">
        <f t="shared" si="24"/>
        <v>26.11.2014.
31.3.2015</v>
      </c>
      <c r="H2331" s="1" t="str">
        <f>CONCATENATE("1. Zajednica ponuditelja: ",CHAR(10),"    NISKOGRADNJA SESVETE D.O.O., SESVETE",CHAR(10),"    TURKOVIĆ D.O.O., VELIKA GORICA",CHAR(10),"    OBRT ZA PRIJEVOZ VL. MARIJAN BARIĆ, DONJA BISTRA")</f>
        <v>1. Zajednica ponuditelja: 
    NISKOGRADNJA SESVETE D.O.O., SESVETE
    TURKOVIĆ D.O.O., VELIKA GORICA
    OBRT ZA PRIJEVOZ VL. MARIJAN BARIĆ, DONJA BISTRA</v>
      </c>
      <c r="I2331" s="2"/>
      <c r="J2331" s="1"/>
      <c r="K2331" s="1" t="s">
        <v>607</v>
      </c>
    </row>
    <row r="2332" spans="1:11" ht="173.25" x14ac:dyDescent="0.25">
      <c r="A2332" s="1" t="str">
        <f>"916/2014"</f>
        <v>916/2014</v>
      </c>
      <c r="B2332" s="1" t="s">
        <v>26</v>
      </c>
      <c r="C2332" s="1" t="s">
        <v>1093</v>
      </c>
      <c r="D2332" s="1" t="str">
        <f t="shared" si="23"/>
        <v>Z-2014-14</v>
      </c>
      <c r="E2332" s="2"/>
      <c r="F2332" s="1" t="str">
        <f>"1.904.368,00"</f>
        <v>1.904.368,00</v>
      </c>
      <c r="G2332" s="1" t="str">
        <f t="shared" si="24"/>
        <v>26.11.2014.
31.3.2015</v>
      </c>
      <c r="H2332" s="1" t="str">
        <f>CONCATENATE("1. Zajednica ponuditelja: ",CHAR(10),"    I.B. JAZBINA, ZAGREB",CHAR(10),"    AUTOPRIJEVOZNIČKI I USLUŽNI OBRT VL. ZVONIMIR RADOEVIĆ, ZAGREB",CHAR(10),"    AUTOPRIJEVOZ I USLUGE GRAĐEVINSKOM MEHANIZACIJOM GODEC VL. STJEPAN GODEC, SESVETE",CHAR(10),"    AUTOPRIJEVOZNIK I USLUGE GRAĐEVINSKOM MEHANIZACIJOM VL. ŽELJKO SMOLKOVIĆ, ZAGREB")</f>
        <v>1. Zajednica ponuditelja: 
    I.B. JAZBINA, ZAGREB
    AUTOPRIJEVOZNIČKI I USLUŽNI OBRT VL. ZVONIMIR RADOEVIĆ, ZAGREB
    AUTOPRIJEVOZ I USLUGE GRAĐEVINSKOM MEHANIZACIJOM GODEC VL. STJEPAN GODEC, SESVETE
    AUTOPRIJEVOZNIK I USLUGE GRAĐEVINSKOM MEHANIZACIJOM VL. ŽELJKO SMOLKOVIĆ, ZAGREB</v>
      </c>
      <c r="I2332" s="2"/>
      <c r="J2332" s="1"/>
      <c r="K2332" s="1" t="s">
        <v>607</v>
      </c>
    </row>
    <row r="2333" spans="1:11" ht="47.25" x14ac:dyDescent="0.25">
      <c r="A2333" s="1" t="str">
        <f>"917/2014"</f>
        <v>917/2014</v>
      </c>
      <c r="B2333" s="1" t="s">
        <v>26</v>
      </c>
      <c r="C2333" s="1" t="s">
        <v>1094</v>
      </c>
      <c r="D2333" s="1" t="str">
        <f t="shared" si="23"/>
        <v>Z-2014-14</v>
      </c>
      <c r="E2333" s="2"/>
      <c r="F2333" s="1" t="str">
        <f>"2.773.760,00"</f>
        <v>2.773.760,00</v>
      </c>
      <c r="G2333" s="1" t="str">
        <f t="shared" si="24"/>
        <v>26.11.2014.
31.3.2015</v>
      </c>
      <c r="H2333" s="1" t="str">
        <f>CONCATENATE("DIJANEŽEVIĆ AUTOPRIJEVOZ I GRADNJA, VL. MIJO DIJANEŽEVIĆ, DONJA LOMNICA")</f>
        <v>DIJANEŽEVIĆ AUTOPRIJEVOZ I GRADNJA, VL. MIJO DIJANEŽEVIĆ, DONJA LOMNICA</v>
      </c>
      <c r="I2333" s="2"/>
      <c r="J2333" s="1"/>
      <c r="K2333" s="1" t="s">
        <v>607</v>
      </c>
    </row>
    <row r="2334" spans="1:11" ht="78.75" x14ac:dyDescent="0.25">
      <c r="A2334" s="1" t="str">
        <f>"918/2014"</f>
        <v>918/2014</v>
      </c>
      <c r="B2334" s="1" t="s">
        <v>26</v>
      </c>
      <c r="C2334" s="1" t="s">
        <v>1095</v>
      </c>
      <c r="D2334" s="1" t="str">
        <f t="shared" si="23"/>
        <v>Z-2014-14</v>
      </c>
      <c r="E2334" s="2"/>
      <c r="F2334" s="1" t="str">
        <f>"959.855,00"</f>
        <v>959.855,00</v>
      </c>
      <c r="G2334" s="1" t="str">
        <f t="shared" si="24"/>
        <v>26.11.2014.
31.3.2015</v>
      </c>
      <c r="H2334" s="1" t="str">
        <f>CONCATENATE("1. Zajednica ponuditelja: ",CHAR(10),"    GAJANT D.O.O., ZAGREB",CHAR(10),"    BEŠIĆ - PROM D.O.O., ZAGREB",CHAR(10),"    VIB OBRT ZA PRIJEVOZ I USLUGE VL. VELIMIR ŠANTOLIĆ, ZAGREB")</f>
        <v>1. Zajednica ponuditelja: 
    GAJANT D.O.O., ZAGREB
    BEŠIĆ - PROM D.O.O., ZAGREB
    VIB OBRT ZA PRIJEVOZ I USLUGE VL. VELIMIR ŠANTOLIĆ, ZAGREB</v>
      </c>
      <c r="I2334" s="2"/>
      <c r="J2334" s="1"/>
      <c r="K2334" s="1" t="s">
        <v>607</v>
      </c>
    </row>
    <row r="2335" spans="1:11" ht="47.25" x14ac:dyDescent="0.25">
      <c r="A2335" s="1" t="str">
        <f>"919/2014"</f>
        <v>919/2014</v>
      </c>
      <c r="B2335" s="1" t="s">
        <v>26</v>
      </c>
      <c r="C2335" s="1" t="s">
        <v>1096</v>
      </c>
      <c r="D2335" s="1" t="str">
        <f t="shared" si="23"/>
        <v>Z-2014-14</v>
      </c>
      <c r="E2335" s="2"/>
      <c r="F2335" s="1" t="str">
        <f>"1.960.000,00"</f>
        <v>1.960.000,00</v>
      </c>
      <c r="G2335" s="1" t="str">
        <f t="shared" si="24"/>
        <v>26.11.2014.
31.3.2015</v>
      </c>
      <c r="H2335" s="1" t="str">
        <f>CONCATENATE("NERING D.O.O., SESVETE")</f>
        <v>NERING D.O.O., SESVETE</v>
      </c>
      <c r="I2335" s="2"/>
      <c r="J2335" s="1"/>
      <c r="K2335" s="1" t="s">
        <v>607</v>
      </c>
    </row>
    <row r="2336" spans="1:11" ht="47.25" x14ac:dyDescent="0.25">
      <c r="A2336" s="1" t="str">
        <f>"920/2014"</f>
        <v>920/2014</v>
      </c>
      <c r="B2336" s="1" t="s">
        <v>26</v>
      </c>
      <c r="C2336" s="1" t="s">
        <v>1097</v>
      </c>
      <c r="D2336" s="1" t="str">
        <f t="shared" si="23"/>
        <v>Z-2014-14</v>
      </c>
      <c r="E2336" s="2"/>
      <c r="F2336" s="1" t="str">
        <f>"1.329.995,98"</f>
        <v>1.329.995,98</v>
      </c>
      <c r="G2336" s="1" t="str">
        <f t="shared" si="24"/>
        <v>26.11.2014.
31.3.2015</v>
      </c>
      <c r="H2336" s="1" t="str">
        <f>CONCATENATE("GIP PIONIR D.O.O., ZAGREB")</f>
        <v>GIP PIONIR D.O.O., ZAGREB</v>
      </c>
      <c r="I2336" s="2"/>
      <c r="J2336" s="1"/>
      <c r="K2336" s="1" t="s">
        <v>607</v>
      </c>
    </row>
    <row r="2337" spans="1:11" ht="47.25" x14ac:dyDescent="0.25">
      <c r="A2337" s="1" t="str">
        <f>"921/2014"</f>
        <v>921/2014</v>
      </c>
      <c r="B2337" s="1" t="s">
        <v>14</v>
      </c>
      <c r="C2337" s="1" t="s">
        <v>1098</v>
      </c>
      <c r="D2337" s="1" t="str">
        <f>CONCATENATE("1535-2014-EMV",CHAR(10),"2014/S 002-0044320 od 23.09.2014.")</f>
        <v>1535-2014-EMV
2014/S 002-0044320 od 23.09.2014.</v>
      </c>
      <c r="E2337" s="1" t="s">
        <v>15</v>
      </c>
      <c r="F2337" s="1" t="str">
        <f>"287.640,00"</f>
        <v>287.640,00</v>
      </c>
      <c r="G2337" s="1" t="str">
        <f>CONCATENATE("01.12.2014.",CHAR(10),"1 mjesec od obostranog potpisa Ugovora")</f>
        <v>01.12.2014.
1 mjesec od obostranog potpisa Ugovora</v>
      </c>
      <c r="H2337" s="1" t="str">
        <f>CONCATENATE("MARINO-LUČKO D.O.O., LUČKO")</f>
        <v>MARINO-LUČKO D.O.O., LUČKO</v>
      </c>
      <c r="I2337" s="1" t="s">
        <v>580</v>
      </c>
      <c r="J2337" s="1" t="str">
        <f>SUBSTITUTE(SUBSTITUTE(SUBSTITUTE("359,550.00",".","-"),",","."),"-",",")</f>
        <v>359.550,00</v>
      </c>
      <c r="K2337" s="2"/>
    </row>
    <row r="2338" spans="1:11" ht="63" x14ac:dyDescent="0.25">
      <c r="A2338" s="1" t="str">
        <f>"922/2014"</f>
        <v>922/2014</v>
      </c>
      <c r="B2338" s="1" t="s">
        <v>26</v>
      </c>
      <c r="C2338" s="1" t="s">
        <v>1099</v>
      </c>
      <c r="D2338" s="1" t="str">
        <f>"378-2012-EVV-2"</f>
        <v>378-2012-EVV-2</v>
      </c>
      <c r="E2338" s="2"/>
      <c r="F2338" s="1" t="str">
        <f>"499.833,00"</f>
        <v>499.833,00</v>
      </c>
      <c r="G2338" s="1" t="str">
        <f>CONCATENATE("19.11.2014.",CHAR(10),"12 mjeseci")</f>
        <v>19.11.2014.
12 mjeseci</v>
      </c>
      <c r="H2338" s="1" t="str">
        <f>CONCATENATE("IGO-MAT D.O.O., BREGANA")</f>
        <v>IGO-MAT D.O.O., BREGANA</v>
      </c>
      <c r="I2338" s="2"/>
      <c r="J2338" s="1"/>
      <c r="K2338" s="2"/>
    </row>
    <row r="2339" spans="1:11" ht="63" x14ac:dyDescent="0.25">
      <c r="A2339" s="1" t="str">
        <f>"923/2014"</f>
        <v>923/2014</v>
      </c>
      <c r="B2339" s="1" t="s">
        <v>26</v>
      </c>
      <c r="C2339" s="1" t="s">
        <v>1100</v>
      </c>
      <c r="D2339" s="1" t="str">
        <f>"378-2012-EVV-2"</f>
        <v>378-2012-EVV-2</v>
      </c>
      <c r="E2339" s="2"/>
      <c r="F2339" s="1" t="str">
        <f>"755.066,00"</f>
        <v>755.066,00</v>
      </c>
      <c r="G2339" s="1" t="str">
        <f>CONCATENATE("19.11.2014.",CHAR(10),"12 mjeseci")</f>
        <v>19.11.2014.
12 mjeseci</v>
      </c>
      <c r="H2339" s="1" t="str">
        <f>CONCATENATE("IGO-MAT D.O.O., BREGANA")</f>
        <v>IGO-MAT D.O.O., BREGANA</v>
      </c>
      <c r="I2339" s="2"/>
      <c r="J2339" s="1"/>
      <c r="K2339" s="2"/>
    </row>
    <row r="2340" spans="1:11" ht="47.25" x14ac:dyDescent="0.25">
      <c r="A2340" s="1" t="str">
        <f>"924/2014"</f>
        <v>924/2014</v>
      </c>
      <c r="B2340" s="1" t="s">
        <v>14</v>
      </c>
      <c r="C2340" s="1" t="s">
        <v>1101</v>
      </c>
      <c r="D2340" s="1" t="str">
        <f>CONCATENATE("2326-2014-EBV",CHAR(10),"2014/S 015-0051854 od 11.11.2014.")</f>
        <v>2326-2014-EBV
2014/S 015-0051854 od 11.11.2014.</v>
      </c>
      <c r="E2340" s="1" t="s">
        <v>12</v>
      </c>
      <c r="F2340" s="1" t="str">
        <f>"114.398,50"</f>
        <v>114.398,50</v>
      </c>
      <c r="G2340" s="1" t="str">
        <f>CONCATENATE("01.12.2014.",CHAR(10),"40 dana od dana uvođenja u posao")</f>
        <v>01.12.2014.
40 dana od dana uvođenja u posao</v>
      </c>
      <c r="H2340" s="1" t="str">
        <f>CONCATENATE("E.G.S.-ELEKTROGRADITELJSTVO D.O.O., ZAGREB")</f>
        <v>E.G.S.-ELEKTROGRADITELJSTVO D.O.O., ZAGREB</v>
      </c>
      <c r="I2340" s="2"/>
      <c r="J2340" s="1"/>
      <c r="K2340" s="2"/>
    </row>
    <row r="2341" spans="1:11" ht="47.25" x14ac:dyDescent="0.25">
      <c r="A2341" s="1" t="str">
        <f>"925/2014"</f>
        <v>925/2014</v>
      </c>
      <c r="B2341" s="1" t="s">
        <v>14</v>
      </c>
      <c r="C2341" s="1" t="s">
        <v>1102</v>
      </c>
      <c r="D2341" s="1" t="str">
        <f>CONCATENATE("240-2014-EMV",CHAR(10),"2014/S 002-0045989 od 03.10.2014.")</f>
        <v>240-2014-EMV
2014/S 002-0045989 od 03.10.2014.</v>
      </c>
      <c r="E2341" s="1" t="s">
        <v>15</v>
      </c>
      <c r="F2341" s="1" t="str">
        <f>"278.950,00"</f>
        <v>278.950,00</v>
      </c>
      <c r="G2341" s="1" t="str">
        <f>CONCATENATE("01.12.2014.",CHAR(10),"12 mjeseci")</f>
        <v>01.12.2014.
12 mjeseci</v>
      </c>
      <c r="H2341" s="1" t="str">
        <f>CONCATENATE("COMBIS D.O.O., ZAGREB")</f>
        <v>COMBIS D.O.O., ZAGREB</v>
      </c>
      <c r="I2341" s="2"/>
      <c r="J2341" s="1"/>
      <c r="K2341" s="2"/>
    </row>
    <row r="2342" spans="1:11" ht="78.75" x14ac:dyDescent="0.25">
      <c r="A2342" s="1" t="str">
        <f>"927/2014"</f>
        <v>927/2014</v>
      </c>
      <c r="B2342" s="1" t="s">
        <v>26</v>
      </c>
      <c r="C2342" s="1" t="s">
        <v>1103</v>
      </c>
      <c r="D2342" s="1" t="str">
        <f>"24-2014-EVV"</f>
        <v>24-2014-EVV</v>
      </c>
      <c r="E2342" s="2"/>
      <c r="F2342" s="1" t="str">
        <f>"437.398,34"</f>
        <v>437.398,34</v>
      </c>
      <c r="G2342" s="1" t="str">
        <f>CONCATENATE("01.12.2014.",CHAR(10),"31.1.2015")</f>
        <v>01.12.2014.
31.1.2015</v>
      </c>
      <c r="H2342" s="1" t="str">
        <f>CONCATENATE("ID EKO D.O.O., ZAGREB")</f>
        <v>ID EKO D.O.O., ZAGREB</v>
      </c>
      <c r="I2342" s="1" t="s">
        <v>942</v>
      </c>
      <c r="J2342" s="1" t="str">
        <f>SUBSTITUTE(SUBSTITUTE(SUBSTITUTE("546,747.93",".","-"),",","."),"-",",")</f>
        <v>546.747,93</v>
      </c>
      <c r="K2342" s="2"/>
    </row>
    <row r="2343" spans="1:11" ht="94.5" x14ac:dyDescent="0.25">
      <c r="A2343" s="1" t="str">
        <f>"928/2014"</f>
        <v>928/2014</v>
      </c>
      <c r="B2343" s="1" t="s">
        <v>26</v>
      </c>
      <c r="C2343" s="1" t="s">
        <v>1104</v>
      </c>
      <c r="D2343" s="1" t="str">
        <f>"24-2014-EVV"</f>
        <v>24-2014-EVV</v>
      </c>
      <c r="E2343" s="2"/>
      <c r="F2343" s="1" t="str">
        <f>"666.806,76"</f>
        <v>666.806,76</v>
      </c>
      <c r="G2343" s="1" t="str">
        <f>CONCATENATE("01.12.2014.",CHAR(10),"31.1.2015")</f>
        <v>01.12.2014.
31.1.2015</v>
      </c>
      <c r="H2343" s="1" t="str">
        <f>CONCATENATE("SANITACIJA D.O.O., ZAGREB")</f>
        <v>SANITACIJA D.O.O., ZAGREB</v>
      </c>
      <c r="I2343" s="1" t="s">
        <v>942</v>
      </c>
      <c r="J2343" s="1" t="str">
        <f>SUBSTITUTE(SUBSTITUTE(SUBSTITUTE("833,508.45",".","-"),",","."),"-",",")</f>
        <v>833.508,45</v>
      </c>
      <c r="K2343" s="2"/>
    </row>
    <row r="2344" spans="1:11" ht="78.75" x14ac:dyDescent="0.25">
      <c r="A2344" s="1" t="str">
        <f>"929/2014"</f>
        <v>929/2014</v>
      </c>
      <c r="B2344" s="1" t="s">
        <v>26</v>
      </c>
      <c r="C2344" s="1" t="s">
        <v>1105</v>
      </c>
      <c r="D2344" s="1" t="str">
        <f>"24-2014-EVV"</f>
        <v>24-2014-EVV</v>
      </c>
      <c r="E2344" s="2"/>
      <c r="F2344" s="1" t="str">
        <f>"745.408,59"</f>
        <v>745.408,59</v>
      </c>
      <c r="G2344" s="1" t="str">
        <f>CONCATENATE("01.12.2014.",CHAR(10),"31.1.2015")</f>
        <v>01.12.2014.
31.1.2015</v>
      </c>
      <c r="H2344" s="1" t="str">
        <f>CONCATENATE("EKOTOURS D.O.O., ZAGREB")</f>
        <v>EKOTOURS D.O.O., ZAGREB</v>
      </c>
      <c r="I2344" s="1" t="s">
        <v>942</v>
      </c>
      <c r="J2344" s="1" t="str">
        <f>SUBSTITUTE(SUBSTITUTE(SUBSTITUTE("918,594.99",".","-"),",","."),"-",",")</f>
        <v>918.594,99</v>
      </c>
      <c r="K2344" s="2"/>
    </row>
    <row r="2345" spans="1:11" ht="63" x14ac:dyDescent="0.25">
      <c r="A2345" s="1" t="str">
        <f>"930/2014"</f>
        <v>930/2014</v>
      </c>
      <c r="B2345" s="1" t="s">
        <v>14</v>
      </c>
      <c r="C2345" s="1" t="s">
        <v>1106</v>
      </c>
      <c r="D2345" s="1" t="str">
        <f>CONCATENATE("2660-2014-EMV",CHAR(10),"2014/S 002-0043319 od 16.09.2014.")</f>
        <v>2660-2014-EMV
2014/S 002-0043319 od 16.09.2014.</v>
      </c>
      <c r="E2345" s="1" t="s">
        <v>15</v>
      </c>
      <c r="F2345" s="1" t="str">
        <f>"898.369,00"</f>
        <v>898.369,00</v>
      </c>
      <c r="G2345" s="1" t="str">
        <f>CONCATENATE("02.12.2014.",CHAR(10),"14 mjeseci od dana obostranog potpisa Ugovora")</f>
        <v>02.12.2014.
14 mjeseci od dana obostranog potpisa Ugovora</v>
      </c>
      <c r="H2345" s="1" t="str">
        <f>CONCATENATE("1. Zajednica ponuditelja: ",CHAR(10),"    HRVATSKI TELEKOM D.D., ZAGREB",CHAR(10),"    STORM COMPUTERS D.O.O., ZAGREB")</f>
        <v>1. Zajednica ponuditelja: 
    HRVATSKI TELEKOM D.D., ZAGREB
    STORM COMPUTERS D.O.O., ZAGREB</v>
      </c>
      <c r="I2345" s="1" t="s">
        <v>1107</v>
      </c>
      <c r="J2345" s="1" t="str">
        <f>SUBSTITUTE(SUBSTITUTE(SUBSTITUTE("1,122,961.25",".","-"),",","."),"-",",")</f>
        <v>1.122.961,25</v>
      </c>
      <c r="K2345" s="2"/>
    </row>
    <row r="2346" spans="1:11" ht="47.25" x14ac:dyDescent="0.25">
      <c r="A2346" s="1" t="str">
        <f>"931/2014"</f>
        <v>931/2014</v>
      </c>
      <c r="B2346" s="1" t="s">
        <v>14</v>
      </c>
      <c r="C2346" s="1" t="s">
        <v>1108</v>
      </c>
      <c r="D2346" s="1" t="str">
        <f>CONCATENATE("2014-2210",CHAR(10),"2014/S-002-0024194 od 15.05.2014.")</f>
        <v>2014-2210
2014/S-002-0024194 od 15.05.2014.</v>
      </c>
      <c r="E2346" s="1" t="s">
        <v>15</v>
      </c>
      <c r="F2346" s="1" t="str">
        <f>"874.689,97"</f>
        <v>874.689,97</v>
      </c>
      <c r="G2346" s="1" t="str">
        <f>CONCATENATE("02.12.2014.",CHAR(10),"1 godina")</f>
        <v>02.12.2014.
1 godina</v>
      </c>
      <c r="H2346" s="1" t="str">
        <f>CONCATENATE("AKTIV GLOBAL D.O.O., ZAGREB")</f>
        <v>AKTIV GLOBAL D.O.O., ZAGREB</v>
      </c>
      <c r="I2346" s="2"/>
      <c r="J2346" s="1"/>
      <c r="K2346" s="1" t="s">
        <v>607</v>
      </c>
    </row>
    <row r="2347" spans="1:11" ht="110.25" x14ac:dyDescent="0.25">
      <c r="A2347" s="1" t="str">
        <f>"932/2014"</f>
        <v>932/2014</v>
      </c>
      <c r="B2347" s="1" t="s">
        <v>136</v>
      </c>
      <c r="C2347" s="1" t="s">
        <v>1109</v>
      </c>
      <c r="D2347" s="1" t="str">
        <f>CONCATENATE("2014-2395",CHAR(10),"2014/S 002-0037255 od 31.07.2014.")</f>
        <v>2014-2395
2014/S 002-0037255 od 31.07.2014.</v>
      </c>
      <c r="E2347" s="1" t="s">
        <v>366</v>
      </c>
      <c r="F2347" s="1" t="str">
        <f>"2.797.484,00"</f>
        <v>2.797.484,00</v>
      </c>
      <c r="G2347" s="1" t="str">
        <f>CONCATENATE("02.12.2014.",CHAR(10),"2 godine")</f>
        <v>02.12.2014.
2 godine</v>
      </c>
      <c r="H2347" s="1" t="str">
        <f>CONCATENATE("CHROMOS D.D., SAMOBOR",CHAR(10),"TURBO-ZG D.O.O., ZAGREB",CHAR(10),"BAČELIĆ D.O.O., ZAGREB",CHAR(10),"CHROMOS - SVJETLOST D.O.O., LUŽANI",CHAR(10),"SMIT COMMERCE D.O.O., GORNJI STUPNIK")</f>
        <v>CHROMOS D.D., SAMOBOR
TURBO-ZG D.O.O., ZAGREB
BAČELIĆ D.O.O., ZAGREB
CHROMOS - SVJETLOST D.O.O., LUŽANI
SMIT COMMERCE D.O.O., GORNJI STUPNIK</v>
      </c>
      <c r="I2347" s="2"/>
      <c r="J2347" s="1"/>
      <c r="K2347" s="1" t="s">
        <v>607</v>
      </c>
    </row>
    <row r="2348" spans="1:11" ht="47.25" x14ac:dyDescent="0.25">
      <c r="A2348" s="1" t="str">
        <f>"A-139/2014"</f>
        <v>A-139/2014</v>
      </c>
      <c r="B2348" s="1" t="s">
        <v>11</v>
      </c>
      <c r="C2348" s="1" t="s">
        <v>1110</v>
      </c>
      <c r="D2348" s="1" t="str">
        <f>"1179-2013-EMV"</f>
        <v>1179-2013-EMV</v>
      </c>
      <c r="E2348" s="2"/>
      <c r="F2348" s="1" t="str">
        <f>"0,00"</f>
        <v>0,00</v>
      </c>
      <c r="G2348" s="1" t="str">
        <f>CONCATENATE("02.12.2014.",CHAR(10),"31.12.2014")</f>
        <v>02.12.2014.
31.12.2014</v>
      </c>
      <c r="H2348" s="1" t="str">
        <f>CONCATENATE("1. Zajednica ponuditelja: ",CHAR(10),"    TEH-GRADNJA D.O.O., ZAGREB",CHAR(10),"    GEOANDA D.O.O., ZAGREB")</f>
        <v>1. Zajednica ponuditelja: 
    TEH-GRADNJA D.O.O., ZAGREB
    GEOANDA D.O.O., ZAGREB</v>
      </c>
      <c r="I2348" s="2"/>
      <c r="J2348" s="1"/>
      <c r="K2348" s="2"/>
    </row>
    <row r="2349" spans="1:11" ht="47.25" x14ac:dyDescent="0.25">
      <c r="A2349" s="1" t="str">
        <f>"933/2014"</f>
        <v>933/2014</v>
      </c>
      <c r="B2349" s="1" t="s">
        <v>14</v>
      </c>
      <c r="C2349" s="1" t="s">
        <v>1111</v>
      </c>
      <c r="D2349" s="1" t="str">
        <f>CONCATENATE("201-2014-EMV",CHAR(10),"2014/S 002-0043848 od 19.09.2014.")</f>
        <v>201-2014-EMV
2014/S 002-0043848 od 19.09.2014.</v>
      </c>
      <c r="E2349" s="1" t="s">
        <v>15</v>
      </c>
      <c r="F2349" s="1" t="str">
        <f>"950.207,15"</f>
        <v>950.207,15</v>
      </c>
      <c r="G2349" s="1" t="str">
        <f>CONCATENATE("02.12.2014.",CHAR(10),"60 danan od dana uvođenja u posao")</f>
        <v>02.12.2014.
60 danan od dana uvođenja u posao</v>
      </c>
      <c r="H2349" s="1" t="str">
        <f>CONCATENATE("TEH-GRADNJA D.O.O., ZAGREB")</f>
        <v>TEH-GRADNJA D.O.O., ZAGREB</v>
      </c>
      <c r="I2349" s="2"/>
      <c r="J2349" s="1"/>
      <c r="K2349" s="2"/>
    </row>
    <row r="2350" spans="1:11" ht="47.25" x14ac:dyDescent="0.25">
      <c r="A2350" s="1" t="str">
        <f>"936/2014"</f>
        <v>936/2014</v>
      </c>
      <c r="B2350" s="1" t="s">
        <v>26</v>
      </c>
      <c r="C2350" s="1" t="s">
        <v>1112</v>
      </c>
      <c r="D2350" s="1" t="str">
        <f>"238-2013-EVV"</f>
        <v>238-2013-EVV</v>
      </c>
      <c r="E2350" s="2"/>
      <c r="F2350" s="1" t="str">
        <f>"1.298.171,72"</f>
        <v>1.298.171,72</v>
      </c>
      <c r="G2350" s="1" t="str">
        <f>CONCATENATE("04.12.2014.",CHAR(10),"12 mjeseci od dana obostranog potpisivanja ugovora")</f>
        <v>04.12.2014.
12 mjeseci od dana obostranog potpisivanja ugovora</v>
      </c>
      <c r="H2350" s="1" t="str">
        <f>CONCATENATE("HRVATSKI TELEKOM D.D., ZAGREB")</f>
        <v>HRVATSKI TELEKOM D.D., ZAGREB</v>
      </c>
      <c r="I2350" s="2"/>
      <c r="J2350" s="1"/>
      <c r="K2350" s="2"/>
    </row>
    <row r="2351" spans="1:11" ht="47.25" x14ac:dyDescent="0.25">
      <c r="A2351" s="1" t="str">
        <f>"937/2014"</f>
        <v>937/2014</v>
      </c>
      <c r="B2351" s="1" t="s">
        <v>14</v>
      </c>
      <c r="C2351" s="1" t="s">
        <v>1113</v>
      </c>
      <c r="D2351" s="1" t="str">
        <f>CONCATENATE("2945-2014-EMV",CHAR(10),"2014/S 002-0044996 od 26.09.2014.")</f>
        <v>2945-2014-EMV
2014/S 002-0044996 od 26.09.2014.</v>
      </c>
      <c r="E2351" s="1" t="s">
        <v>15</v>
      </c>
      <c r="F2351" s="1" t="str">
        <f>"685.719,09"</f>
        <v>685.719,09</v>
      </c>
      <c r="G2351" s="1" t="str">
        <f>CONCATENATE("04.12.2014.",CHAR(10),"30 dana od dana uvođenja u posao")</f>
        <v>04.12.2014.
30 dana od dana uvođenja u posao</v>
      </c>
      <c r="H2351" s="1" t="str">
        <f>CONCATENATE("M. SOLDO D.O.O., ZAGREB")</f>
        <v>M. SOLDO D.O.O., ZAGREB</v>
      </c>
      <c r="I2351" s="2"/>
      <c r="J2351" s="1"/>
      <c r="K2351" s="2"/>
    </row>
    <row r="2352" spans="1:11" ht="78.75" x14ac:dyDescent="0.25">
      <c r="A2352" s="1" t="str">
        <f>"938/2014"</f>
        <v>938/2014</v>
      </c>
      <c r="B2352" s="1" t="s">
        <v>26</v>
      </c>
      <c r="C2352" s="1" t="s">
        <v>1114</v>
      </c>
      <c r="D2352" s="1" t="str">
        <f>"Z-2014-14"</f>
        <v>Z-2014-14</v>
      </c>
      <c r="E2352" s="2"/>
      <c r="F2352" s="1" t="str">
        <f>"7.996.395,00"</f>
        <v>7.996.395,00</v>
      </c>
      <c r="G2352" s="1" t="str">
        <f>CONCATENATE("26.11.2014.",CHAR(10),"31.3.2015")</f>
        <v>26.11.2014.
31.3.2015</v>
      </c>
      <c r="H2352" s="1" t="str">
        <f>CONCATENATE("1. Zajednica ponuditelja: ",CHAR(10),"    VODOPRIVREDA ZAGREB D.D., ZAGREB",CHAR(10),"    POLJO-PROM TRGOVINA I USLUGE, VL. ZLATKO KRIŽANIĆ, ZAGREB")</f>
        <v>1. Zajednica ponuditelja: 
    VODOPRIVREDA ZAGREB D.D., ZAGREB
    POLJO-PROM TRGOVINA I USLUGE, VL. ZLATKO KRIŽANIĆ, ZAGREB</v>
      </c>
      <c r="I2352" s="2"/>
      <c r="J2352" s="1"/>
      <c r="K2352" s="1" t="s">
        <v>607</v>
      </c>
    </row>
    <row r="2353" spans="1:11" ht="78.75" x14ac:dyDescent="0.25">
      <c r="A2353" s="1" t="str">
        <f>"939/2014"</f>
        <v>939/2014</v>
      </c>
      <c r="B2353" s="1" t="s">
        <v>26</v>
      </c>
      <c r="C2353" s="1" t="s">
        <v>1115</v>
      </c>
      <c r="D2353" s="1" t="str">
        <f>"24-2014-EVV"</f>
        <v>24-2014-EVV</v>
      </c>
      <c r="E2353" s="2"/>
      <c r="F2353" s="1" t="str">
        <f>"382.978,64"</f>
        <v>382.978,64</v>
      </c>
      <c r="G2353" s="1" t="str">
        <f>CONCATENATE("01.12.2014.",CHAR(10),"31.1.2015")</f>
        <v>01.12.2014.
31.1.2015</v>
      </c>
      <c r="H2353" s="1" t="str">
        <f>CONCATENATE("EKO STANDARD D.O.O., ZAGREB")</f>
        <v>EKO STANDARD D.O.O., ZAGREB</v>
      </c>
      <c r="I2353" s="1" t="s">
        <v>942</v>
      </c>
      <c r="J2353" s="1" t="str">
        <f>SUBSTITUTE(SUBSTITUTE(SUBSTITUTE("431,637.05",".","-"),",","."),"-",",")</f>
        <v>431.637,05</v>
      </c>
      <c r="K2353" s="2"/>
    </row>
    <row r="2354" spans="1:11" ht="47.25" x14ac:dyDescent="0.25">
      <c r="A2354" s="1" t="str">
        <f>"940/2014"</f>
        <v>940/2014</v>
      </c>
      <c r="B2354" s="1" t="s">
        <v>26</v>
      </c>
      <c r="C2354" s="1" t="s">
        <v>1116</v>
      </c>
      <c r="D2354" s="1" t="str">
        <f>"Z-2014-8"</f>
        <v>Z-2014-8</v>
      </c>
      <c r="E2354" s="2"/>
      <c r="F2354" s="1" t="str">
        <f>"99.198,36"</f>
        <v>99.198,36</v>
      </c>
      <c r="G2354" s="1" t="str">
        <f>CONCATENATE("03.12.2014.",CHAR(10),"28.2.2015")</f>
        <v>03.12.2014.
28.2.2015</v>
      </c>
      <c r="H2354" s="1" t="str">
        <f>CONCATENATE("MEDIA POLIS D.O.O., ZAGREB")</f>
        <v>MEDIA POLIS D.O.O., ZAGREB</v>
      </c>
      <c r="I2354" s="2"/>
      <c r="J2354" s="1"/>
      <c r="K2354" s="1" t="s">
        <v>607</v>
      </c>
    </row>
    <row r="2355" spans="1:11" ht="47.25" x14ac:dyDescent="0.25">
      <c r="A2355" s="1" t="str">
        <f>"941/2014"</f>
        <v>941/2014</v>
      </c>
      <c r="B2355" s="1" t="s">
        <v>26</v>
      </c>
      <c r="C2355" s="1" t="s">
        <v>1116</v>
      </c>
      <c r="D2355" s="1" t="str">
        <f>"Z-2014-8"</f>
        <v>Z-2014-8</v>
      </c>
      <c r="E2355" s="2"/>
      <c r="F2355" s="1" t="str">
        <f>"221.140,92"</f>
        <v>221.140,92</v>
      </c>
      <c r="G2355" s="1" t="str">
        <f>CONCATENATE("03.12.2014.",CHAR(10),"28.2.2015")</f>
        <v>03.12.2014.
28.2.2015</v>
      </c>
      <c r="H2355" s="1" t="str">
        <f>CONCATENATE("MEDIA POLIS D.O.O., ZAGREB")</f>
        <v>MEDIA POLIS D.O.O., ZAGREB</v>
      </c>
      <c r="I2355" s="2"/>
      <c r="J2355" s="1"/>
      <c r="K2355" s="1" t="s">
        <v>607</v>
      </c>
    </row>
    <row r="2356" spans="1:11" ht="63" x14ac:dyDescent="0.25">
      <c r="A2356" s="1" t="str">
        <f>"942/2014"</f>
        <v>942/2014</v>
      </c>
      <c r="B2356" s="1" t="s">
        <v>26</v>
      </c>
      <c r="C2356" s="1" t="s">
        <v>1117</v>
      </c>
      <c r="D2356" s="1" t="str">
        <f>"2014-1859"</f>
        <v>2014-1859</v>
      </c>
      <c r="E2356" s="2"/>
      <c r="F2356" s="1" t="str">
        <f>"4.142.129,94"</f>
        <v>4.142.129,94</v>
      </c>
      <c r="G2356" s="1" t="str">
        <f>CONCATENATE("08.12.2014.",CHAR(10),"30.11.2015")</f>
        <v>08.12.2014.
30.11.2015</v>
      </c>
      <c r="H2356" s="1" t="str">
        <f>CONCATENATE("KING ICT D.O.O., ZAGREB")</f>
        <v>KING ICT D.O.O., ZAGREB</v>
      </c>
      <c r="I2356" s="2"/>
      <c r="J2356" s="1"/>
      <c r="K2356" s="1" t="s">
        <v>607</v>
      </c>
    </row>
    <row r="2357" spans="1:11" ht="47.25" x14ac:dyDescent="0.25">
      <c r="A2357" s="1" t="str">
        <f>"943/2014"</f>
        <v>943/2014</v>
      </c>
      <c r="B2357" s="1" t="s">
        <v>26</v>
      </c>
      <c r="C2357" s="1" t="s">
        <v>1118</v>
      </c>
      <c r="D2357" s="1" t="str">
        <f>"237-2013-EVV"</f>
        <v>237-2013-EVV</v>
      </c>
      <c r="E2357" s="2"/>
      <c r="F2357" s="1" t="str">
        <f>"2.606.095,27"</f>
        <v>2.606.095,27</v>
      </c>
      <c r="G2357" s="1" t="str">
        <f>CONCATENATE("04.12.2014.",CHAR(10),"1 godina od dana obostranog potpisa")</f>
        <v>04.12.2014.
1 godina od dana obostranog potpisa</v>
      </c>
      <c r="H2357" s="1" t="str">
        <f>CONCATENATE("METRONET TELEKOMUNIKACIJE D.D., ZAGREB")</f>
        <v>METRONET TELEKOMUNIKACIJE D.D., ZAGREB</v>
      </c>
      <c r="I2357" s="2"/>
      <c r="J2357" s="1"/>
      <c r="K2357" s="2"/>
    </row>
    <row r="2358" spans="1:11" ht="78.75" x14ac:dyDescent="0.25">
      <c r="A2358" s="1" t="str">
        <f>"A-140/2014"</f>
        <v>A-140/2014</v>
      </c>
      <c r="B2358" s="1" t="s">
        <v>11</v>
      </c>
      <c r="C2358" s="1" t="s">
        <v>1119</v>
      </c>
      <c r="D2358" s="1" t="str">
        <f>"1685-2014-EVV"</f>
        <v>1685-2014-EVV</v>
      </c>
      <c r="E2358" s="2"/>
      <c r="F2358" s="1" t="str">
        <f>"0,00"</f>
        <v>0,00</v>
      </c>
      <c r="G2358" s="1" t="str">
        <f>"08.12.2014."</f>
        <v>08.12.2014.</v>
      </c>
      <c r="H2358" s="1" t="str">
        <f>CONCATENATE("SPECIJALNA BOLNICA ZA MEDICINSKU REHABILITACIJU VARAŽDINSKE TOPLICE, VARAŽDINSKE TOPLICE")</f>
        <v>SPECIJALNA BOLNICA ZA MEDICINSKU REHABILITACIJU VARAŽDINSKE TOPLICE, VARAŽDINSKE TOPLICE</v>
      </c>
      <c r="I2358" s="2"/>
      <c r="J2358" s="1"/>
      <c r="K2358" s="2"/>
    </row>
    <row r="2359" spans="1:11" ht="47.25" x14ac:dyDescent="0.25">
      <c r="A2359" s="1" t="str">
        <f>"944/2014"</f>
        <v>944/2014</v>
      </c>
      <c r="B2359" s="1" t="s">
        <v>26</v>
      </c>
      <c r="C2359" s="1" t="s">
        <v>1120</v>
      </c>
      <c r="D2359" s="1" t="str">
        <f>"251-2014-EVV"</f>
        <v>251-2014-EVV</v>
      </c>
      <c r="E2359" s="2"/>
      <c r="F2359" s="1" t="str">
        <f>"2.597.493,36"</f>
        <v>2.597.493,36</v>
      </c>
      <c r="G2359" s="1" t="str">
        <f>CONCATENATE("24.11.2014.",CHAR(10),"12 mjeseci od dana obostranog potpisivanja Ugovora")</f>
        <v>24.11.2014.
12 mjeseci od dana obostranog potpisivanja Ugovora</v>
      </c>
      <c r="H2359" s="1" t="str">
        <f>CONCATENATE("KING ICT D.O.O., ZAGREB")</f>
        <v>KING ICT D.O.O., ZAGREB</v>
      </c>
      <c r="I2359" s="2"/>
      <c r="J2359" s="1"/>
      <c r="K2359" s="2"/>
    </row>
    <row r="2360" spans="1:11" ht="31.5" x14ac:dyDescent="0.25">
      <c r="A2360" s="1" t="str">
        <f>"A-141/2014"</f>
        <v>A-141/2014</v>
      </c>
      <c r="B2360" s="1" t="s">
        <v>11</v>
      </c>
      <c r="C2360" s="1" t="s">
        <v>1121</v>
      </c>
      <c r="D2360" s="1" t="str">
        <f>"1144-2013-EMV"</f>
        <v>1144-2013-EMV</v>
      </c>
      <c r="E2360" s="2"/>
      <c r="F2360" s="1" t="str">
        <f>"0,00"</f>
        <v>0,00</v>
      </c>
      <c r="G2360" s="1" t="str">
        <f>CONCATENATE("08.12.2014.",CHAR(10),"30.12.2014")</f>
        <v>08.12.2014.
30.12.2014</v>
      </c>
      <c r="H2360" s="1" t="str">
        <f>CONCATENATE("TEH-GRADNJA D.O.O., ZAGREB")</f>
        <v>TEH-GRADNJA D.O.O., ZAGREB</v>
      </c>
      <c r="I2360" s="2"/>
      <c r="J2360" s="1"/>
      <c r="K2360" s="2"/>
    </row>
    <row r="2361" spans="1:11" ht="78.75" x14ac:dyDescent="0.25">
      <c r="A2361" s="1" t="str">
        <f>"R-5/2014"</f>
        <v>R-5/2014</v>
      </c>
      <c r="B2361" s="1" t="s">
        <v>56</v>
      </c>
      <c r="C2361" s="1" t="s">
        <v>1122</v>
      </c>
      <c r="D2361" s="1" t="str">
        <f>"Z-2014-4"</f>
        <v>Z-2014-4</v>
      </c>
      <c r="E2361" s="2"/>
      <c r="F2361" s="1" t="str">
        <f>"0,00"</f>
        <v>0,00</v>
      </c>
      <c r="G2361" s="1" t="str">
        <f>"08.12.2014."</f>
        <v>08.12.2014.</v>
      </c>
      <c r="H2361" s="1" t="str">
        <f>CONCATENATE("1. Zajednica ponuditelja: ",CHAR(10),"    CRODUX DERIVATI DVA D.O.O., ZAGREB",CHAR(10),"    PETROL D.O.O., ZAGREB",CHAR(10),"2. LUKOIL CROATIA D.O.O., ZAGREB")</f>
        <v>1. Zajednica ponuditelja: 
    CRODUX DERIVATI DVA D.O.O., ZAGREB
    PETROL D.O.O., ZAGREB
2. LUKOIL CROATIA D.O.O., ZAGREB</v>
      </c>
      <c r="I2361" s="2"/>
      <c r="J2361" s="1"/>
      <c r="K2361" s="1" t="s">
        <v>607</v>
      </c>
    </row>
    <row r="2362" spans="1:11" ht="63" x14ac:dyDescent="0.25">
      <c r="A2362" s="1" t="str">
        <f>"R-6/2014"</f>
        <v>R-6/2014</v>
      </c>
      <c r="B2362" s="1" t="s">
        <v>56</v>
      </c>
      <c r="C2362" s="1" t="s">
        <v>1123</v>
      </c>
      <c r="D2362" s="1" t="str">
        <f>"Z-2014-4"</f>
        <v>Z-2014-4</v>
      </c>
      <c r="E2362" s="2"/>
      <c r="F2362" s="1" t="str">
        <f>"0,00"</f>
        <v>0,00</v>
      </c>
      <c r="G2362" s="1" t="str">
        <f>"08.12.2014."</f>
        <v>08.12.2014.</v>
      </c>
      <c r="H2362" s="1" t="str">
        <f>CONCATENATE("CRODUX DERIVATI DVA D.O.O., ZAGREB",CHAR(10),"LUKOIL CROATIA D.O.O., ZAGREB",CHAR(10),"PETROL D.O.O., ZAGREB")</f>
        <v>CRODUX DERIVATI DVA D.O.O., ZAGREB
LUKOIL CROATIA D.O.O., ZAGREB
PETROL D.O.O., ZAGREB</v>
      </c>
      <c r="I2362" s="2"/>
      <c r="J2362" s="1"/>
      <c r="K2362" s="1" t="s">
        <v>607</v>
      </c>
    </row>
    <row r="2363" spans="1:11" ht="63" x14ac:dyDescent="0.25">
      <c r="A2363" s="1" t="str">
        <f>"R-7/2014"</f>
        <v>R-7/2014</v>
      </c>
      <c r="B2363" s="1" t="s">
        <v>56</v>
      </c>
      <c r="C2363" s="1" t="s">
        <v>1124</v>
      </c>
      <c r="D2363" s="1" t="str">
        <f>"Z-2014-4"</f>
        <v>Z-2014-4</v>
      </c>
      <c r="E2363" s="2"/>
      <c r="F2363" s="1" t="str">
        <f>"0,00"</f>
        <v>0,00</v>
      </c>
      <c r="G2363" s="1" t="str">
        <f>"08.12.2014."</f>
        <v>08.12.2014.</v>
      </c>
      <c r="H2363" s="1" t="str">
        <f>CONCATENATE("CRODUX DERIVATI DVA D.O.O., ZAGREB",CHAR(10),"LUKOIL CROATIA D.O.O., ZAGREB",CHAR(10),"PETROL D.O.O., ZAGREB")</f>
        <v>CRODUX DERIVATI DVA D.O.O., ZAGREB
LUKOIL CROATIA D.O.O., ZAGREB
PETROL D.O.O., ZAGREB</v>
      </c>
      <c r="I2363" s="2"/>
      <c r="J2363" s="1"/>
      <c r="K2363" s="1" t="s">
        <v>607</v>
      </c>
    </row>
    <row r="2364" spans="1:11" ht="47.25" x14ac:dyDescent="0.25">
      <c r="A2364" s="1" t="str">
        <f>"945/2014"</f>
        <v>945/2014</v>
      </c>
      <c r="B2364" s="1" t="s">
        <v>26</v>
      </c>
      <c r="C2364" s="1" t="s">
        <v>1125</v>
      </c>
      <c r="D2364" s="1" t="str">
        <f>"2014-507"</f>
        <v>2014-507</v>
      </c>
      <c r="E2364" s="2"/>
      <c r="F2364" s="1" t="str">
        <f>"84.400,00"</f>
        <v>84.400,00</v>
      </c>
      <c r="G2364" s="1" t="str">
        <f>CONCATENATE("08.12.2014.",CHAR(10),"31.12.2014")</f>
        <v>08.12.2014.
31.12.2014</v>
      </c>
      <c r="H2364" s="1" t="str">
        <f>CONCATENATE("EBC SISTEMI D.O.O., ZAGREB")</f>
        <v>EBC SISTEMI D.O.O., ZAGREB</v>
      </c>
      <c r="I2364" s="2"/>
      <c r="J2364" s="1"/>
      <c r="K2364" s="1" t="s">
        <v>607</v>
      </c>
    </row>
    <row r="2365" spans="1:11" ht="47.25" x14ac:dyDescent="0.25">
      <c r="A2365" s="1" t="str">
        <f>"946/2014"</f>
        <v>946/2014</v>
      </c>
      <c r="B2365" s="1" t="s">
        <v>14</v>
      </c>
      <c r="C2365" s="1" t="s">
        <v>1126</v>
      </c>
      <c r="D2365" s="1" t="str">
        <f>CONCATENATE("2014-2590",CHAR(10),"2014/S 002-0042269 od 09.09.2014.")</f>
        <v>2014-2590
2014/S 002-0042269 od 09.09.2014.</v>
      </c>
      <c r="E2365" s="1" t="s">
        <v>15</v>
      </c>
      <c r="F2365" s="1" t="str">
        <f>"1.480.194,76"</f>
        <v>1.480.194,76</v>
      </c>
      <c r="G2365" s="1" t="str">
        <f>CONCATENATE("08.12.2014.",CHAR(10),"1 godina od dana obostranog potpisa Ugovora")</f>
        <v>08.12.2014.
1 godina od dana obostranog potpisa Ugovora</v>
      </c>
      <c r="H2365" s="1" t="str">
        <f>CONCATENATE("GRADSKA PLINARA ZAGREB-OPSKRBA D.O.O., ZAGREB")</f>
        <v>GRADSKA PLINARA ZAGREB-OPSKRBA D.O.O., ZAGREB</v>
      </c>
      <c r="I2365" s="2"/>
      <c r="J2365" s="1"/>
      <c r="K2365" s="1" t="s">
        <v>607</v>
      </c>
    </row>
    <row r="2366" spans="1:11" ht="63" x14ac:dyDescent="0.25">
      <c r="A2366" s="1" t="str">
        <f>"947/2014"</f>
        <v>947/2014</v>
      </c>
      <c r="B2366" s="1" t="s">
        <v>14</v>
      </c>
      <c r="C2366" s="1" t="s">
        <v>1127</v>
      </c>
      <c r="D2366" s="1" t="str">
        <f>CONCATENATE("2998-2014-EMV",CHAR(10),"2014/S 002-0042696 od 11.09.2014.")</f>
        <v>2998-2014-EMV
2014/S 002-0042696 od 11.09.2014.</v>
      </c>
      <c r="E2366" s="1" t="s">
        <v>15</v>
      </c>
      <c r="F2366" s="1" t="str">
        <f>"432.026,70"</f>
        <v>432.026,70</v>
      </c>
      <c r="G2366" s="1" t="str">
        <f>CONCATENATE("08.12.2014.",CHAR(10),"45 dana od dana obostranog potpisa Ugovora")</f>
        <v>08.12.2014.
45 dana od dana obostranog potpisa Ugovora</v>
      </c>
      <c r="H2366" s="1" t="str">
        <f>CONCATENATE("1. Zajednica ponuditelja: ",CHAR(10),"    GRADITELJ SVRATIŠTA D.O.O., ZAGREB",CHAR(10),"    RO-TERMO D.O.O., VELIKA GORICA")</f>
        <v>1. Zajednica ponuditelja: 
    GRADITELJ SVRATIŠTA D.O.O., ZAGREB
    RO-TERMO D.O.O., VELIKA GORICA</v>
      </c>
      <c r="I2366" s="1" t="s">
        <v>1128</v>
      </c>
      <c r="J2366" s="1" t="str">
        <f>SUBSTITUTE(SUBSTITUTE(SUBSTITUTE("539,834.44",".","-"),",","."),"-",",")</f>
        <v>539.834,44</v>
      </c>
      <c r="K2366" s="2"/>
    </row>
    <row r="2367" spans="1:11" ht="47.25" x14ac:dyDescent="0.25">
      <c r="A2367" s="1" t="str">
        <f>"A-142/2014"</f>
        <v>A-142/2014</v>
      </c>
      <c r="B2367" s="1" t="s">
        <v>11</v>
      </c>
      <c r="C2367" s="1" t="s">
        <v>1129</v>
      </c>
      <c r="D2367" s="1" t="str">
        <f>"2014-2258"</f>
        <v>2014-2258</v>
      </c>
      <c r="E2367" s="2"/>
      <c r="F2367" s="1" t="str">
        <f>"0,00"</f>
        <v>0,00</v>
      </c>
      <c r="G2367" s="1" t="str">
        <f>"08.12.2014."</f>
        <v>08.12.2014.</v>
      </c>
      <c r="H2367" s="1" t="str">
        <f>CONCATENATE("ELOB D.O.O., ZAGREB")</f>
        <v>ELOB D.O.O., ZAGREB</v>
      </c>
      <c r="I2367" s="2"/>
      <c r="J2367" s="1"/>
      <c r="K2367" s="1" t="s">
        <v>607</v>
      </c>
    </row>
    <row r="2368" spans="1:11" ht="47.25" x14ac:dyDescent="0.25">
      <c r="A2368" s="1" t="str">
        <f>"A-143/2014"</f>
        <v>A-143/2014</v>
      </c>
      <c r="B2368" s="1" t="s">
        <v>11</v>
      </c>
      <c r="C2368" s="1" t="s">
        <v>1130</v>
      </c>
      <c r="D2368" s="1" t="str">
        <f>"2014-2222"</f>
        <v>2014-2222</v>
      </c>
      <c r="E2368" s="2"/>
      <c r="F2368" s="1" t="str">
        <f>"0,00"</f>
        <v>0,00</v>
      </c>
      <c r="G2368" s="1" t="str">
        <f>"08.12.2014."</f>
        <v>08.12.2014.</v>
      </c>
      <c r="H2368" s="1" t="str">
        <f>CONCATENATE("GEORAD D.O.O., ZAGREB")</f>
        <v>GEORAD D.O.O., ZAGREB</v>
      </c>
      <c r="I2368" s="2"/>
      <c r="J2368" s="1"/>
      <c r="K2368" s="1" t="s">
        <v>607</v>
      </c>
    </row>
    <row r="2369" spans="1:11" ht="47.25" x14ac:dyDescent="0.25">
      <c r="A2369" s="1" t="str">
        <f>"949/2014"</f>
        <v>949/2014</v>
      </c>
      <c r="B2369" s="1" t="s">
        <v>26</v>
      </c>
      <c r="C2369" s="1" t="s">
        <v>1131</v>
      </c>
      <c r="D2369" s="1" t="str">
        <f>"2014-623"</f>
        <v>2014-623</v>
      </c>
      <c r="E2369" s="2"/>
      <c r="F2369" s="1" t="str">
        <f>"1.358.250,00"</f>
        <v>1.358.250,00</v>
      </c>
      <c r="G2369" s="1" t="str">
        <f>CONCATENATE("08.12.2014.",CHAR(10),"15.12.2014")</f>
        <v>08.12.2014.
15.12.2014</v>
      </c>
      <c r="H2369" s="1" t="str">
        <f>CONCATENATE("IKOM D.O.O., ZAGREB-SUSEDGRAD")</f>
        <v>IKOM D.O.O., ZAGREB-SUSEDGRAD</v>
      </c>
      <c r="I2369" s="2"/>
      <c r="J2369" s="1"/>
      <c r="K2369" s="1" t="s">
        <v>607</v>
      </c>
    </row>
    <row r="2370" spans="1:11" ht="47.25" x14ac:dyDescent="0.25">
      <c r="A2370" s="1" t="str">
        <f>"951/2014"</f>
        <v>951/2014</v>
      </c>
      <c r="B2370" s="1" t="s">
        <v>26</v>
      </c>
      <c r="C2370" s="1" t="s">
        <v>2888</v>
      </c>
      <c r="D2370" s="1" t="str">
        <f>"2014-2206"</f>
        <v>2014-2206</v>
      </c>
      <c r="E2370" s="2"/>
      <c r="F2370" s="1" t="str">
        <f>"76.230,00"</f>
        <v>76.230,00</v>
      </c>
      <c r="G2370" s="1" t="str">
        <f>CONCATENATE("08.12.2014.",CHAR(10),"30.4.2015")</f>
        <v>08.12.2014.
30.4.2015</v>
      </c>
      <c r="H2370" s="1" t="str">
        <f>CONCATENATE("MIRAD D.O.O., ZAGREB")</f>
        <v>MIRAD D.O.O., ZAGREB</v>
      </c>
      <c r="I2370" s="2"/>
      <c r="J2370" s="1"/>
      <c r="K2370" s="1" t="s">
        <v>607</v>
      </c>
    </row>
    <row r="2371" spans="1:11" ht="63" x14ac:dyDescent="0.25">
      <c r="A2371" s="1" t="str">
        <f>"952/2014"</f>
        <v>952/2014</v>
      </c>
      <c r="B2371" s="1" t="s">
        <v>14</v>
      </c>
      <c r="C2371" s="1" t="s">
        <v>1132</v>
      </c>
      <c r="D2371" s="1" t="str">
        <f>CONCATENATE("2014-2186",CHAR(10),"2014/S-002-0042662 od 11.09.2014.")</f>
        <v>2014-2186
2014/S-002-0042662 od 11.09.2014.</v>
      </c>
      <c r="E2371" s="1" t="s">
        <v>15</v>
      </c>
      <c r="F2371" s="1" t="str">
        <f>"4.459.609,70"</f>
        <v>4.459.609,70</v>
      </c>
      <c r="G2371" s="1" t="str">
        <f>CONCATENATE("08.12.2014.",CHAR(10),"40 kalendarskih dana (računajući vikende i blagdane) od dana uvođenja u posao")</f>
        <v>08.12.2014.
40 kalendarskih dana (računajući vikende i blagdane) od dana uvođenja u posao</v>
      </c>
      <c r="H2371" s="1" t="str">
        <f>CONCATENATE("1. Zajednica ponuditelja: ",CHAR(10),"    SITOLOR D.O.O., SLAVONSKI BROD",CHAR(10),"    CK-13 TRANSSTROY D.D., SOFIJA")</f>
        <v>1. Zajednica ponuditelja: 
    SITOLOR D.O.O., SLAVONSKI BROD
    CK-13 TRANSSTROY D.D., SOFIJA</v>
      </c>
      <c r="I2371" s="2"/>
      <c r="J2371" s="1"/>
      <c r="K2371" s="1" t="s">
        <v>607</v>
      </c>
    </row>
    <row r="2372" spans="1:11" ht="47.25" x14ac:dyDescent="0.25">
      <c r="A2372" s="1" t="str">
        <f>"953/2014"</f>
        <v>953/2014</v>
      </c>
      <c r="B2372" s="1" t="s">
        <v>14</v>
      </c>
      <c r="C2372" s="1" t="s">
        <v>1133</v>
      </c>
      <c r="D2372" s="1" t="str">
        <f>CONCATENATE("2661-2014-EVV",CHAR(10),"2014/S 002-0045796 od 02.10.2014.")</f>
        <v>2661-2014-EVV
2014/S 002-0045796 od 02.10.2014.</v>
      </c>
      <c r="E2372" s="1" t="s">
        <v>15</v>
      </c>
      <c r="F2372" s="1" t="str">
        <f>"4.195.894,00"</f>
        <v>4.195.894,00</v>
      </c>
      <c r="G2372" s="1" t="str">
        <f>CONCATENATE("09.12.2014.",CHAR(10),"12 mjeseci")</f>
        <v>09.12.2014.
12 mjeseci</v>
      </c>
      <c r="H2372" s="1" t="str">
        <f>CONCATENATE("1. Zajednica ponuditelja: ",CHAR(10),"    COMBIS D.O.O., ZAGREB",CHAR(10),"    EBC SISTEMI D.O.O., ZAGREB")</f>
        <v>1. Zajednica ponuditelja: 
    COMBIS D.O.O., ZAGREB
    EBC SISTEMI D.O.O., ZAGREB</v>
      </c>
      <c r="I2372" s="1" t="s">
        <v>270</v>
      </c>
      <c r="J2372" s="1" t="str">
        <f>SUBSTITUTE(SUBSTITUTE(SUBSTITUTE("5,244,867.50",".","-"),",","."),"-",",")</f>
        <v>5.244.867,50</v>
      </c>
      <c r="K2372" s="2"/>
    </row>
    <row r="2373" spans="1:11" ht="63" x14ac:dyDescent="0.25">
      <c r="A2373" s="1" t="str">
        <f>"A-144/2014"</f>
        <v>A-144/2014</v>
      </c>
      <c r="B2373" s="1" t="s">
        <v>11</v>
      </c>
      <c r="C2373" s="1" t="s">
        <v>1134</v>
      </c>
      <c r="D2373" s="1" t="str">
        <f>"1376-2014-EMV"</f>
        <v>1376-2014-EMV</v>
      </c>
      <c r="E2373" s="2"/>
      <c r="F2373" s="1" t="str">
        <f>"0,00"</f>
        <v>0,00</v>
      </c>
      <c r="G2373" s="1" t="str">
        <f>"08.12.2014."</f>
        <v>08.12.2014.</v>
      </c>
      <c r="H2373" s="1" t="str">
        <f>CONCATENATE("1. Zajednica ponuditelja: ",CHAR(10),"    SEMAFOR D.O.O., ZAGREB",CHAR(10),"    PRIGORAC-GRAĐENJE D.O.O., SESVETE")</f>
        <v>1. Zajednica ponuditelja: 
    SEMAFOR D.O.O., ZAGREB
    PRIGORAC-GRAĐENJE D.O.O., SESVETE</v>
      </c>
      <c r="I2373" s="2"/>
      <c r="J2373" s="1"/>
      <c r="K2373" s="2"/>
    </row>
    <row r="2374" spans="1:11" ht="63" x14ac:dyDescent="0.25">
      <c r="A2374" s="1" t="str">
        <f>"955/2014"</f>
        <v>955/2014</v>
      </c>
      <c r="B2374" s="1" t="s">
        <v>14</v>
      </c>
      <c r="C2374" s="1" t="s">
        <v>1135</v>
      </c>
      <c r="D2374" s="1" t="str">
        <f t="shared" ref="D2374:D2381" si="25">CONCATENATE("Z-2014-11",CHAR(10),"2014/S 015-0051907 od 11.11.2014.")</f>
        <v>Z-2014-11
2014/S 015-0051907 od 11.11.2014.</v>
      </c>
      <c r="E2374" s="1" t="s">
        <v>40</v>
      </c>
      <c r="F2374" s="1" t="str">
        <f>"2.364.544,00"</f>
        <v>2.364.544,00</v>
      </c>
      <c r="G2374" s="1" t="str">
        <f>CONCATENATE("09.12.2014.",CHAR(10),"12 mjeseci od dana obostranog potpisa ugovora")</f>
        <v>09.12.2014.
12 mjeseci od dana obostranog potpisa ugovora</v>
      </c>
      <c r="H2374" s="1" t="str">
        <f>CONCATENATE("1. Zajednica ponuditelja: ",CHAR(10),"    SOKOL MARIĆ D.O.O., ZAGREB",CHAR(10),"    BILIĆ-ERIĆ D.O.O., SESVETE",CHAR(10),"    V GRUPA D.O.O., ZAGREB")</f>
        <v>1. Zajednica ponuditelja: 
    SOKOL MARIĆ D.O.O., ZAGREB
    BILIĆ-ERIĆ D.O.O., SESVETE
    V GRUPA D.O.O., ZAGREB</v>
      </c>
      <c r="I2374" s="2"/>
      <c r="J2374" s="1"/>
      <c r="K2374" s="1" t="s">
        <v>607</v>
      </c>
    </row>
    <row r="2375" spans="1:11" ht="63" x14ac:dyDescent="0.25">
      <c r="A2375" s="1" t="str">
        <f>"956/2014"</f>
        <v>956/2014</v>
      </c>
      <c r="B2375" s="1" t="s">
        <v>14</v>
      </c>
      <c r="C2375" s="1" t="s">
        <v>1136</v>
      </c>
      <c r="D2375" s="1" t="str">
        <f t="shared" si="25"/>
        <v>Z-2014-11
2014/S 015-0051907 od 11.11.2014.</v>
      </c>
      <c r="E2375" s="1" t="s">
        <v>40</v>
      </c>
      <c r="F2375" s="1" t="str">
        <f>"965.524,00"</f>
        <v>965.524,00</v>
      </c>
      <c r="G2375" s="1" t="str">
        <f>CONCATENATE("09.12.2014.",CHAR(10),"12 mjeseci od dana obostranog potpisa ugovora")</f>
        <v>09.12.2014.
12 mjeseci od dana obostranog potpisa ugovora</v>
      </c>
      <c r="H2375" s="1" t="str">
        <f>CONCATENATE("1. Zajednica ponuditelja: ",CHAR(10),"    SOKOL MARIĆ D.O.O., ZAGREB",CHAR(10),"    BILIĆ-ERIĆ D.O.O., SESVETE",CHAR(10),"    V GRUPA D.O.O., ZAGREB")</f>
        <v>1. Zajednica ponuditelja: 
    SOKOL MARIĆ D.O.O., ZAGREB
    BILIĆ-ERIĆ D.O.O., SESVETE
    V GRUPA D.O.O., ZAGREB</v>
      </c>
      <c r="I2375" s="2"/>
      <c r="J2375" s="1"/>
      <c r="K2375" s="1" t="s">
        <v>607</v>
      </c>
    </row>
    <row r="2376" spans="1:11" ht="63" x14ac:dyDescent="0.25">
      <c r="A2376" s="1" t="str">
        <f>"957/2014"</f>
        <v>957/2014</v>
      </c>
      <c r="B2376" s="1" t="s">
        <v>14</v>
      </c>
      <c r="C2376" s="1" t="s">
        <v>1137</v>
      </c>
      <c r="D2376" s="1" t="str">
        <f t="shared" si="25"/>
        <v>Z-2014-11
2014/S 015-0051907 od 11.11.2014.</v>
      </c>
      <c r="E2376" s="1" t="s">
        <v>40</v>
      </c>
      <c r="F2376" s="1" t="str">
        <f>"66.164,00"</f>
        <v>66.164,00</v>
      </c>
      <c r="G2376" s="1" t="str">
        <f>CONCATENATE("09.12.2014.",CHAR(10),"12 mjeseci od dana obostranog potpisa ugovora")</f>
        <v>09.12.2014.
12 mjeseci od dana obostranog potpisa ugovora</v>
      </c>
      <c r="H2376" s="1" t="str">
        <f>CONCATENATE("1. Zajednica ponuditelja: ",CHAR(10),"    SOKOL MARIĆ D.O.O., ZAGREB",CHAR(10),"    BILIĆ-ERIĆ D.O.O., SESVETE",CHAR(10),"    V GRUPA D.O.O., ZAGREB")</f>
        <v>1. Zajednica ponuditelja: 
    SOKOL MARIĆ D.O.O., ZAGREB
    BILIĆ-ERIĆ D.O.O., SESVETE
    V GRUPA D.O.O., ZAGREB</v>
      </c>
      <c r="I2376" s="2"/>
      <c r="J2376" s="1"/>
      <c r="K2376" s="1" t="s">
        <v>607</v>
      </c>
    </row>
    <row r="2377" spans="1:11" ht="63" x14ac:dyDescent="0.25">
      <c r="A2377" s="1" t="str">
        <f>"958/2014"</f>
        <v>958/2014</v>
      </c>
      <c r="B2377" s="1" t="s">
        <v>14</v>
      </c>
      <c r="C2377" s="1" t="s">
        <v>1138</v>
      </c>
      <c r="D2377" s="1" t="str">
        <f t="shared" si="25"/>
        <v>Z-2014-11
2014/S 015-0051907 od 11.11.2014.</v>
      </c>
      <c r="E2377" s="1" t="s">
        <v>40</v>
      </c>
      <c r="F2377" s="1" t="str">
        <f>"4.940.432,00"</f>
        <v>4.940.432,00</v>
      </c>
      <c r="G2377" s="1" t="str">
        <f>CONCATENATE("09.12.2014.",CHAR(10),"12 mjeseci  od dana obostranog potpisa Ugovora")</f>
        <v>09.12.2014.
12 mjeseci  od dana obostranog potpisa Ugovora</v>
      </c>
      <c r="H2377" s="1" t="str">
        <f>CONCATENATE("1. Zajednica ponuditelja: ",CHAR(10),"    SOKOL MARIĆ D.O.O., ZAGREB",CHAR(10),"    BILIĆ-ERIĆ D.O.O., SESVETE",CHAR(10),"    V GRUPA D.O.O., ZAGREB")</f>
        <v>1. Zajednica ponuditelja: 
    SOKOL MARIĆ D.O.O., ZAGREB
    BILIĆ-ERIĆ D.O.O., SESVETE
    V GRUPA D.O.O., ZAGREB</v>
      </c>
      <c r="I2377" s="2"/>
      <c r="J2377" s="1"/>
      <c r="K2377" s="1" t="s">
        <v>607</v>
      </c>
    </row>
    <row r="2378" spans="1:11" ht="47.25" x14ac:dyDescent="0.25">
      <c r="A2378" s="1" t="str">
        <f>"959/2014"</f>
        <v>959/2014</v>
      </c>
      <c r="B2378" s="1" t="s">
        <v>14</v>
      </c>
      <c r="C2378" s="1" t="s">
        <v>1139</v>
      </c>
      <c r="D2378" s="1" t="str">
        <f t="shared" si="25"/>
        <v>Z-2014-11
2014/S 015-0051907 od 11.11.2014.</v>
      </c>
      <c r="E2378" s="1" t="s">
        <v>40</v>
      </c>
      <c r="F2378" s="1" t="str">
        <f>"315.433,00"</f>
        <v>315.433,00</v>
      </c>
      <c r="G2378" s="1" t="str">
        <f>CONCATENATE("09.12.2014.",CHAR(10),"12 mjeseci od dana obostranog potpisa Ugovora")</f>
        <v>09.12.2014.
12 mjeseci od dana obostranog potpisa Ugovora</v>
      </c>
      <c r="H2378" s="1" t="str">
        <f>CONCATENATE("SIGURNOST D.O.O., OSIJEK")</f>
        <v>SIGURNOST D.O.O., OSIJEK</v>
      </c>
      <c r="I2378" s="2"/>
      <c r="J2378" s="1"/>
      <c r="K2378" s="1" t="s">
        <v>607</v>
      </c>
    </row>
    <row r="2379" spans="1:11" ht="47.25" x14ac:dyDescent="0.25">
      <c r="A2379" s="1" t="str">
        <f>"960/2014"</f>
        <v>960/2014</v>
      </c>
      <c r="B2379" s="1" t="s">
        <v>14</v>
      </c>
      <c r="C2379" s="1" t="s">
        <v>1140</v>
      </c>
      <c r="D2379" s="1" t="str">
        <f t="shared" si="25"/>
        <v>Z-2014-11
2014/S 015-0051907 od 11.11.2014.</v>
      </c>
      <c r="E2379" s="1" t="s">
        <v>40</v>
      </c>
      <c r="F2379" s="1" t="str">
        <f>"514.124,80"</f>
        <v>514.124,80</v>
      </c>
      <c r="G2379" s="1" t="str">
        <f>CONCATENATE("09.12.2014.",CHAR(10),"12 mjeseci od dana obostranog potpisa ugovora")</f>
        <v>09.12.2014.
12 mjeseci od dana obostranog potpisa ugovora</v>
      </c>
      <c r="H2379" s="1" t="str">
        <f>CONCATENATE("SIGURNOST D.O.O., OSIJEK")</f>
        <v>SIGURNOST D.O.O., OSIJEK</v>
      </c>
      <c r="I2379" s="2"/>
      <c r="J2379" s="1"/>
      <c r="K2379" s="1" t="s">
        <v>607</v>
      </c>
    </row>
    <row r="2380" spans="1:11" ht="63" x14ac:dyDescent="0.25">
      <c r="A2380" s="1" t="str">
        <f>"961/2014"</f>
        <v>961/2014</v>
      </c>
      <c r="B2380" s="1" t="s">
        <v>14</v>
      </c>
      <c r="C2380" s="1" t="s">
        <v>1141</v>
      </c>
      <c r="D2380" s="1" t="str">
        <f t="shared" si="25"/>
        <v>Z-2014-11
2014/S 015-0051907 od 11.11.2014.</v>
      </c>
      <c r="E2380" s="1" t="s">
        <v>40</v>
      </c>
      <c r="F2380" s="1" t="str">
        <f>"1.603.000,00"</f>
        <v>1.603.000,00</v>
      </c>
      <c r="G2380" s="1" t="str">
        <f>CONCATENATE("09.12.2014.",CHAR(10),"12 mjeseci od dana obostranog potpisa Ugovora")</f>
        <v>09.12.2014.
12 mjeseci od dana obostranog potpisa Ugovora</v>
      </c>
      <c r="H2380" s="1" t="str">
        <f>CONCATENATE("1. Zajednica ponuditelja: ",CHAR(10),"    SOKOL MARIĆ D.O.O., ZAGREB",CHAR(10),"    BILIĆ-ERIĆ D.O.O., SESVETE",CHAR(10),"    V GRUPA D.O.O., ZAGREB")</f>
        <v>1. Zajednica ponuditelja: 
    SOKOL MARIĆ D.O.O., ZAGREB
    BILIĆ-ERIĆ D.O.O., SESVETE
    V GRUPA D.O.O., ZAGREB</v>
      </c>
      <c r="I2380" s="2"/>
      <c r="J2380" s="1"/>
      <c r="K2380" s="1" t="s">
        <v>607</v>
      </c>
    </row>
    <row r="2381" spans="1:11" ht="63" x14ac:dyDescent="0.25">
      <c r="A2381" s="1" t="str">
        <f>"962/2014"</f>
        <v>962/2014</v>
      </c>
      <c r="B2381" s="1" t="s">
        <v>14</v>
      </c>
      <c r="C2381" s="1" t="s">
        <v>1142</v>
      </c>
      <c r="D2381" s="1" t="str">
        <f t="shared" si="25"/>
        <v>Z-2014-11
2014/S 015-0051907 od 11.11.2014.</v>
      </c>
      <c r="E2381" s="1" t="s">
        <v>40</v>
      </c>
      <c r="F2381" s="1" t="str">
        <f>"10.421.434,00"</f>
        <v>10.421.434,00</v>
      </c>
      <c r="G2381" s="1" t="str">
        <f>CONCATENATE("09.12.2014.",CHAR(10),"12 mjeseci od dana obostranog potpisa Ugovora")</f>
        <v>09.12.2014.
12 mjeseci od dana obostranog potpisa Ugovora</v>
      </c>
      <c r="H2381" s="1" t="str">
        <f>CONCATENATE("1. Zajednica ponuditelja: ",CHAR(10),"    SOKOL MARIĆ D.O.O., ZAGREB",CHAR(10),"    BILIĆ-ERIĆ D.O.O., SESVETE",CHAR(10),"    V GRUPA D.O.O., ZAGREB")</f>
        <v>1. Zajednica ponuditelja: 
    SOKOL MARIĆ D.O.O., ZAGREB
    BILIĆ-ERIĆ D.O.O., SESVETE
    V GRUPA D.O.O., ZAGREB</v>
      </c>
      <c r="I2381" s="2"/>
      <c r="J2381" s="1"/>
      <c r="K2381" s="1" t="s">
        <v>607</v>
      </c>
    </row>
    <row r="2382" spans="1:11" ht="63" x14ac:dyDescent="0.25">
      <c r="A2382" s="1" t="str">
        <f>"963/2014"</f>
        <v>963/2014</v>
      </c>
      <c r="B2382" s="1" t="s">
        <v>26</v>
      </c>
      <c r="C2382" s="1" t="s">
        <v>1143</v>
      </c>
      <c r="D2382" s="1" t="str">
        <f>"194-2013-EMV"</f>
        <v>194-2013-EMV</v>
      </c>
      <c r="E2382" s="2"/>
      <c r="F2382" s="1" t="str">
        <f>"250.780,00"</f>
        <v>250.780,00</v>
      </c>
      <c r="G2382" s="1" t="str">
        <f>CONCATENATE("19.11.2014.",CHAR(10),"1 godina")</f>
        <v>19.11.2014.
1 godina</v>
      </c>
      <c r="H2382" s="1" t="str">
        <f>CONCATENATE("ADEO D.O.O., OSIJEK")</f>
        <v>ADEO D.O.O., OSIJEK</v>
      </c>
      <c r="I2382" s="2"/>
      <c r="J2382" s="1"/>
      <c r="K2382" s="2"/>
    </row>
    <row r="2383" spans="1:11" ht="31.5" x14ac:dyDescent="0.25">
      <c r="A2383" s="1" t="str">
        <f>"964/2014"</f>
        <v>964/2014</v>
      </c>
      <c r="B2383" s="1" t="s">
        <v>26</v>
      </c>
      <c r="C2383" s="1" t="s">
        <v>261</v>
      </c>
      <c r="D2383" s="1" t="str">
        <f>"244-2014-EVV"</f>
        <v>244-2014-EVV</v>
      </c>
      <c r="E2383" s="2"/>
      <c r="F2383" s="1" t="str">
        <f>"1.569.205,40"</f>
        <v>1.569.205,40</v>
      </c>
      <c r="G2383" s="1" t="str">
        <f>CONCATENATE("10.12.2014.",CHAR(10),"1 godina")</f>
        <v>10.12.2014.
1 godina</v>
      </c>
      <c r="H2383" s="1" t="str">
        <f>CONCATENATE("COMPING D.O.O., ZAGREB")</f>
        <v>COMPING D.O.O., ZAGREB</v>
      </c>
      <c r="I2383" s="1" t="s">
        <v>573</v>
      </c>
      <c r="J2383" s="1" t="str">
        <f>SUBSTITUTE(SUBSTITUTE(SUBSTITUTE("1,961,506.75",".","-"),",","."),"-",",")</f>
        <v>1.961.506,75</v>
      </c>
      <c r="K2383" s="2"/>
    </row>
    <row r="2384" spans="1:11" ht="78.75" x14ac:dyDescent="0.25">
      <c r="A2384" s="1" t="str">
        <f>"A-145/2014"</f>
        <v>A-145/2014</v>
      </c>
      <c r="B2384" s="1" t="s">
        <v>11</v>
      </c>
      <c r="C2384" s="1" t="s">
        <v>1144</v>
      </c>
      <c r="D2384" s="1" t="str">
        <f>"749-2012-EMV"</f>
        <v>749-2012-EMV</v>
      </c>
      <c r="E2384" s="2"/>
      <c r="F2384" s="1" t="str">
        <f>"159.988,00"</f>
        <v>159.988,00</v>
      </c>
      <c r="G2384" s="1" t="str">
        <f>"10.12.2014."</f>
        <v>10.12.2014.</v>
      </c>
      <c r="H2384" s="1" t="str">
        <f>CONCATENATE("1. Zajednica ponuditelja: ",CHAR(10),"    GRADNJAPROJEKT- ZAGREB D.O.O., ZAGREB",CHAR(10),"    LJEVAONICA UMJETNINA ALU D.O.O., ZAGREB")</f>
        <v>1. Zajednica ponuditelja: 
    GRADNJAPROJEKT- ZAGREB D.O.O., ZAGREB
    LJEVAONICA UMJETNINA ALU D.O.O., ZAGREB</v>
      </c>
      <c r="I2384" s="2"/>
      <c r="J2384" s="1"/>
      <c r="K2384" s="2"/>
    </row>
    <row r="2385" spans="1:11" ht="63" x14ac:dyDescent="0.25">
      <c r="A2385" s="1" t="str">
        <f>"965/2014"</f>
        <v>965/2014</v>
      </c>
      <c r="B2385" s="1" t="s">
        <v>136</v>
      </c>
      <c r="C2385" s="1" t="s">
        <v>1145</v>
      </c>
      <c r="D2385" s="1" t="str">
        <f>CONCATENATE("12-2014-EMV",CHAR(10),"2014/S 002-0040149 od 25.08.2014.")</f>
        <v>12-2014-EMV
2014/S 002-0040149 od 25.08.2014.</v>
      </c>
      <c r="E2385" s="1" t="s">
        <v>366</v>
      </c>
      <c r="F2385" s="1" t="str">
        <f>"467.101,00"</f>
        <v>467.101,00</v>
      </c>
      <c r="G2385" s="1" t="str">
        <f>CONCATENATE("10.12.2014.",CHAR(10),"2 godine")</f>
        <v>10.12.2014.
2 godine</v>
      </c>
      <c r="H2385" s="1" t="str">
        <f>CONCATENATE("URIHO - USTANOVA ZA PROFESIONALNU REHABILITACIJU I ZAPOŠLJAVANJE OSOBA S INVALIDITETOM, ZAGREB")</f>
        <v>URIHO - USTANOVA ZA PROFESIONALNU REHABILITACIJU I ZAPOŠLJAVANJE OSOBA S INVALIDITETOM, ZAGREB</v>
      </c>
      <c r="I2385" s="2"/>
      <c r="J2385" s="1"/>
      <c r="K2385" s="2"/>
    </row>
    <row r="2386" spans="1:11" ht="47.25" x14ac:dyDescent="0.25">
      <c r="A2386" s="1" t="str">
        <f>"966/2014"</f>
        <v>966/2014</v>
      </c>
      <c r="B2386" s="1" t="s">
        <v>14</v>
      </c>
      <c r="C2386" s="1" t="s">
        <v>1146</v>
      </c>
      <c r="D2386" s="1" t="str">
        <f>CONCATENATE("1372-2014-EMV",CHAR(10),"2014/S-002-0039091 od 14.08.2014.")</f>
        <v>1372-2014-EMV
2014/S-002-0039091 od 14.08.2014.</v>
      </c>
      <c r="E2386" s="1" t="s">
        <v>15</v>
      </c>
      <c r="F2386" s="1" t="str">
        <f>"312.000,00"</f>
        <v>312.000,00</v>
      </c>
      <c r="G2386" s="1" t="str">
        <f>CONCATENATE("10.12.2014.",CHAR(10),"12 mjeawci od dana obostranog potpisa Ugovora")</f>
        <v>10.12.2014.
12 mjeawci od dana obostranog potpisa Ugovora</v>
      </c>
      <c r="H2386" s="1" t="str">
        <f>CONCATENATE("GEOPROJEKT D.D., SPLIT")</f>
        <v>GEOPROJEKT D.D., SPLIT</v>
      </c>
      <c r="I2386" s="2"/>
      <c r="J2386" s="1"/>
      <c r="K2386" s="2"/>
    </row>
    <row r="2387" spans="1:11" ht="47.25" x14ac:dyDescent="0.25">
      <c r="A2387" s="1" t="str">
        <f>"967/2014"</f>
        <v>967/2014</v>
      </c>
      <c r="B2387" s="1" t="s">
        <v>26</v>
      </c>
      <c r="C2387" s="1" t="s">
        <v>1147</v>
      </c>
      <c r="D2387" s="1" t="str">
        <f>"242-2014-EMV"</f>
        <v>242-2014-EMV</v>
      </c>
      <c r="E2387" s="2"/>
      <c r="F2387" s="1" t="str">
        <f>"399.600,00"</f>
        <v>399.600,00</v>
      </c>
      <c r="G2387" s="1" t="str">
        <f>CONCATENATE("10.12.2014.",CHAR(10),"12 mjeseci od dana obostranog potpisa Ugovora")</f>
        <v>10.12.2014.
12 mjeseci od dana obostranog potpisa Ugovora</v>
      </c>
      <c r="H2387" s="1" t="str">
        <f>CONCATENATE("BCC SERVICES D.O.O., ZAGREB")</f>
        <v>BCC SERVICES D.O.O., ZAGREB</v>
      </c>
      <c r="I2387" s="2"/>
      <c r="J2387" s="1"/>
      <c r="K2387" s="2"/>
    </row>
    <row r="2388" spans="1:11" ht="204.75" x14ac:dyDescent="0.25">
      <c r="A2388" s="1" t="str">
        <f>"968/2014"</f>
        <v>968/2014</v>
      </c>
      <c r="B2388" s="1" t="s">
        <v>136</v>
      </c>
      <c r="C2388" s="1" t="s">
        <v>1148</v>
      </c>
      <c r="D2388" s="1" t="str">
        <f>CONCATENATE("2014-770",CHAR(10),"2014/S 002-0041749 od 05.09.2014.")</f>
        <v>2014-770
2014/S 002-0041749 od 05.09.2014.</v>
      </c>
      <c r="E2388" s="1" t="s">
        <v>366</v>
      </c>
      <c r="F2388" s="1" t="str">
        <f>"1.595.234,00"</f>
        <v>1.595.234,00</v>
      </c>
      <c r="G2388" s="1" t="str">
        <f>CONCATENATE("10.12.2014.",CHAR(10),"2 godine")</f>
        <v>10.12.2014.
2 godine</v>
      </c>
      <c r="H2388" s="1" t="str">
        <f>CONCATENATE("1. AMB GRADNJA D.O.O., ZAGREB",CHAR(10),"2. Zajednica ponuditelja: ",CHAR(10),"    INSTAL-PROM D.O.O., ZAGREB",CHAR(10),"    KAPITEL D.O.O., IVANIĆ-GRAD",CHAR(10),"    GEO 6 D.O.O, ZAGREB-SUSEDGRAD",CHAR(10),"3. TEMEX D.O.O., ZAGREB",CHAR(10),"4. Zajednica ponuditelja: ",CHAR(10),"    GAJANT D.O.O., ZAGREB",CHAR(10),"    TRI-TOM D.O.O., ZAGREB",CHAR(10),"5. Zajednica ponuditelja: ",CHAR(10),"    GUT D.O.O., ZAGREB",CHAR(10),"    KOM-EKO D.O.O., ZAGREB",CHAR(10),"    NI-AL D.O.O., VELIKA GORICA")</f>
        <v>1. AMB GRADNJA D.O.O., ZAGREB
2. Zajednica ponuditelja: 
    INSTAL-PROM D.O.O., ZAGREB
    KAPITEL D.O.O., IVANIĆ-GRAD
    GEO 6 D.O.O, ZAGREB-SUSEDGRAD
3. TEMEX D.O.O., ZAGREB
4. Zajednica ponuditelja: 
    GAJANT D.O.O., ZAGREB
    TRI-TOM D.O.O., ZAGREB
5. Zajednica ponuditelja: 
    GUT D.O.O., ZAGREB
    KOM-EKO D.O.O., ZAGREB
    NI-AL D.O.O., VELIKA GORICA</v>
      </c>
      <c r="I2388" s="2"/>
      <c r="J2388" s="1"/>
      <c r="K2388" s="1" t="s">
        <v>607</v>
      </c>
    </row>
    <row r="2389" spans="1:11" ht="47.25" x14ac:dyDescent="0.25">
      <c r="A2389" s="1" t="str">
        <f>"969/2014"</f>
        <v>969/2014</v>
      </c>
      <c r="B2389" s="1" t="s">
        <v>14</v>
      </c>
      <c r="C2389" s="1" t="s">
        <v>1149</v>
      </c>
      <c r="D2389" s="1" t="str">
        <f>CONCATENATE("3011-2014-EMV",CHAR(10),"2014/S 002-0041282 od 03.09.2014.")</f>
        <v>3011-2014-EMV
2014/S 002-0041282 od 03.09.2014.</v>
      </c>
      <c r="E2389" s="1" t="s">
        <v>15</v>
      </c>
      <c r="F2389" s="1" t="str">
        <f>"294.000,00"</f>
        <v>294.000,00</v>
      </c>
      <c r="G2389" s="1" t="str">
        <f>CONCATENATE("09.12.2014.",CHAR(10),"30 dana od dana obostranog potpisa Ugovora")</f>
        <v>09.12.2014.
30 dana od dana obostranog potpisa Ugovora</v>
      </c>
      <c r="H2389" s="1" t="str">
        <f>CONCATENATE("OLYMPUS D.O.O., ZAGREB")</f>
        <v>OLYMPUS D.O.O., ZAGREB</v>
      </c>
      <c r="I2389" s="1" t="s">
        <v>580</v>
      </c>
      <c r="J2389" s="1" t="str">
        <f>SUBSTITUTE(SUBSTITUTE(SUBSTITUTE("367,500.00",".","-"),",","."),"-",",")</f>
        <v>367.500,00</v>
      </c>
      <c r="K2389" s="2"/>
    </row>
    <row r="2390" spans="1:11" ht="47.25" x14ac:dyDescent="0.25">
      <c r="A2390" s="1" t="str">
        <f>"970/2014"</f>
        <v>970/2014</v>
      </c>
      <c r="B2390" s="1" t="s">
        <v>14</v>
      </c>
      <c r="C2390" s="1" t="s">
        <v>1150</v>
      </c>
      <c r="D2390" s="1" t="str">
        <f>CONCATENATE("2014-2635",CHAR(10),"2014/S 002-0046649 od 10.10.2014.")</f>
        <v>2014-2635
2014/S 002-0046649 od 10.10.2014.</v>
      </c>
      <c r="E2390" s="1" t="s">
        <v>15</v>
      </c>
      <c r="F2390" s="1" t="str">
        <f>"380.680,00"</f>
        <v>380.680,00</v>
      </c>
      <c r="G2390" s="1" t="str">
        <f>CONCATENATE("09.12.2014.",CHAR(10),"44 (četrdesetčetiri) radna dana od dana uvođenja u posao")</f>
        <v>09.12.2014.
44 (četrdesetčetiri) radna dana od dana uvođenja u posao</v>
      </c>
      <c r="H2390" s="1" t="str">
        <f>CONCATENATE("INSTAL-PROM D.O.O., ZAGREB")</f>
        <v>INSTAL-PROM D.O.O., ZAGREB</v>
      </c>
      <c r="I2390" s="2"/>
      <c r="J2390" s="1"/>
      <c r="K2390" s="1" t="s">
        <v>607</v>
      </c>
    </row>
    <row r="2391" spans="1:11" ht="47.25" x14ac:dyDescent="0.25">
      <c r="A2391" s="1" t="str">
        <f>"971/2014"</f>
        <v>971/2014</v>
      </c>
      <c r="B2391" s="1" t="s">
        <v>14</v>
      </c>
      <c r="C2391" s="1" t="s">
        <v>1151</v>
      </c>
      <c r="D2391" s="1" t="str">
        <f>CONCATENATE("1293-2014-EVV",CHAR(10),"2014/S 002-0028177 od 06.06.2014.")</f>
        <v>1293-2014-EVV
2014/S 002-0028177 od 06.06.2014.</v>
      </c>
      <c r="E2391" s="1" t="s">
        <v>15</v>
      </c>
      <c r="F2391" s="1" t="str">
        <f>"2.597.437,00"</f>
        <v>2.597.437,00</v>
      </c>
      <c r="G2391" s="1" t="str">
        <f>CONCATENATE("09.12.2014.",CHAR(10),"12 mjeseci od dana uvođenja u posao")</f>
        <v>09.12.2014.
12 mjeseci od dana uvođenja u posao</v>
      </c>
      <c r="H2391" s="1" t="str">
        <f>CONCATENATE("1. Zajednica ponuditelja: ",CHAR(10),"    HIDROSTRES D.O.O., ZAGREB",CHAR(10),"    CARIN D.O.O., ZAGREB")</f>
        <v>1. Zajednica ponuditelja: 
    HIDROSTRES D.O.O., ZAGREB
    CARIN D.O.O., ZAGREB</v>
      </c>
      <c r="I2391" s="2"/>
      <c r="J2391" s="1"/>
      <c r="K2391" s="2"/>
    </row>
    <row r="2392" spans="1:11" ht="63" x14ac:dyDescent="0.25">
      <c r="A2392" s="1" t="str">
        <f>"972/2014"</f>
        <v>972/2014</v>
      </c>
      <c r="B2392" s="1" t="s">
        <v>136</v>
      </c>
      <c r="C2392" s="1" t="s">
        <v>1152</v>
      </c>
      <c r="D2392" s="1" t="str">
        <f>CONCATENATE("589-2014-EVV",CHAR(10),"2014/S 002-0043484 od 17.09.2014.")</f>
        <v>589-2014-EVV
2014/S 002-0043484 od 17.09.2014.</v>
      </c>
      <c r="E2392" s="1" t="s">
        <v>366</v>
      </c>
      <c r="F2392" s="1" t="str">
        <f>"1.903.115,00"</f>
        <v>1.903.115,00</v>
      </c>
      <c r="G2392" s="1" t="str">
        <f>CONCATENATE("15.12.2014.",CHAR(10),"2 godine")</f>
        <v>15.12.2014.
2 godine</v>
      </c>
      <c r="H2392" s="1" t="str">
        <f>CONCATENATE("URIHO - USTANOVA ZA PROFESIONALNU REHABILITACIJU I ZAPOŠLJAVANJE OSOBA S INVALIDITETOM, ZAGREB")</f>
        <v>URIHO - USTANOVA ZA PROFESIONALNU REHABILITACIJU I ZAPOŠLJAVANJE OSOBA S INVALIDITETOM, ZAGREB</v>
      </c>
      <c r="I2392" s="2"/>
      <c r="J2392" s="1"/>
      <c r="K2392" s="2"/>
    </row>
    <row r="2393" spans="1:11" ht="47.25" x14ac:dyDescent="0.25">
      <c r="A2393" s="1" t="str">
        <f>"973/2014"</f>
        <v>973/2014</v>
      </c>
      <c r="B2393" s="1" t="s">
        <v>14</v>
      </c>
      <c r="C2393" s="1" t="s">
        <v>2889</v>
      </c>
      <c r="D2393" s="1" t="str">
        <f>CONCATENATE("2014-2337",CHAR(10),"2014/S 015-0053116 od 18.11.2014.")</f>
        <v>2014-2337
2014/S 015-0053116 od 18.11.2014.</v>
      </c>
      <c r="E2393" s="1" t="s">
        <v>12</v>
      </c>
      <c r="F2393" s="1" t="str">
        <f>"223.463,17"</f>
        <v>223.463,17</v>
      </c>
      <c r="G2393" s="1" t="str">
        <f>CONCATENATE("15.12.2014.",CHAR(10),"60 dana od dana uvođenja u posao")</f>
        <v>15.12.2014.
60 dana od dana uvođenja u posao</v>
      </c>
      <c r="H2393" s="1" t="str">
        <f>CONCATENATE("GEORAD D.O.O., ZAGREB")</f>
        <v>GEORAD D.O.O., ZAGREB</v>
      </c>
      <c r="I2393" s="2"/>
      <c r="J2393" s="1"/>
      <c r="K2393" s="1" t="s">
        <v>607</v>
      </c>
    </row>
    <row r="2394" spans="1:11" ht="47.25" x14ac:dyDescent="0.25">
      <c r="A2394" s="1" t="str">
        <f>"974/2014"</f>
        <v>974/2014</v>
      </c>
      <c r="B2394" s="1" t="s">
        <v>14</v>
      </c>
      <c r="C2394" s="1" t="s">
        <v>1153</v>
      </c>
      <c r="D2394" s="1" t="str">
        <f>CONCATENATE("150-2014-EBV",CHAR(10),"2014/S 015-0053122 od 18.11.2014.")</f>
        <v>150-2014-EBV
2014/S 015-0053122 od 18.11.2014.</v>
      </c>
      <c r="E2394" s="1" t="s">
        <v>12</v>
      </c>
      <c r="F2394" s="1" t="str">
        <f>"288.739,79"</f>
        <v>288.739,79</v>
      </c>
      <c r="G2394" s="1" t="str">
        <f>CONCATENATE("15.12.2014.",CHAR(10),"30 dana od dana uvođenja u posao")</f>
        <v>15.12.2014.
30 dana od dana uvođenja u posao</v>
      </c>
      <c r="H2394" s="1" t="str">
        <f>CONCATENATE("HEDOM D.O.O., ZAGREB")</f>
        <v>HEDOM D.O.O., ZAGREB</v>
      </c>
      <c r="I2394" s="1" t="s">
        <v>441</v>
      </c>
      <c r="J2394" s="1" t="str">
        <f>SUBSTITUTE(SUBSTITUTE(SUBSTITUTE("360,924.74",".","-"),",","."),"-",",")</f>
        <v>360.924,74</v>
      </c>
      <c r="K2394" s="2"/>
    </row>
    <row r="2395" spans="1:11" ht="189" x14ac:dyDescent="0.25">
      <c r="A2395" s="1" t="str">
        <f>"A-147/2014"</f>
        <v>A-147/2014</v>
      </c>
      <c r="B2395" s="1" t="s">
        <v>11</v>
      </c>
      <c r="C2395" s="1" t="s">
        <v>1154</v>
      </c>
      <c r="D2395" s="1" t="str">
        <f>"1228-2014-EVV"</f>
        <v>1228-2014-EVV</v>
      </c>
      <c r="E2395" s="2"/>
      <c r="F2395" s="1" t="str">
        <f>"0,00"</f>
        <v>0,00</v>
      </c>
      <c r="G2395" s="1" t="str">
        <f>CONCATENATE("10.12.2014.",CHAR(10),"15.12.2014")</f>
        <v>10.12.2014.
15.12.2014</v>
      </c>
      <c r="H2395" s="1" t="str">
        <f>CONCATENATE("1. Zajednica ponuditelja: ",CHAR(10),"    GEO-LAMA D.O.O., ZAGREB",CHAR(10),"    JAVNA RAZSVJETLJAVA D.D., LJUBLJANA-DOBRUNJE",CHAR(10),"    ELEKTRO GRAĐENJE D.O.O., ZAGREB",CHAR(10),"    E.M.G. OBRT, SISAK-CAPRAG",CHAR(10),"    TRSTENIK ELEKTRONIKA D.O.O., SESVETE-KRALJEVEC",CHAR(10),"    EL-ING ELEKTRO RADOVI, TRGOVINA I CONZALTING - OBRT, JASTREBARSKO")</f>
        <v>1. Zajednica ponuditelja: 
    GEO-LAMA D.O.O., ZAGREB
    JAVNA RAZSVJETLJAVA D.D., LJUBLJANA-DOBRUNJE
    ELEKTRO GRAĐENJE D.O.O., ZAGREB
    E.M.G. OBRT, SISAK-CAPRAG
    TRSTENIK ELEKTRONIKA D.O.O., SESVETE-KRALJEVEC
    EL-ING ELEKTRO RADOVI, TRGOVINA I CONZALTING - OBRT, JASTREBARSKO</v>
      </c>
      <c r="I2395" s="2"/>
      <c r="J2395" s="1"/>
      <c r="K2395" s="2"/>
    </row>
    <row r="2396" spans="1:11" ht="63" x14ac:dyDescent="0.25">
      <c r="A2396" s="1" t="str">
        <f>"A-148/2014"</f>
        <v>A-148/2014</v>
      </c>
      <c r="B2396" s="1" t="s">
        <v>11</v>
      </c>
      <c r="C2396" s="1" t="s">
        <v>1155</v>
      </c>
      <c r="D2396" s="1" t="str">
        <f>"1335-2013-EMV"</f>
        <v>1335-2013-EMV</v>
      </c>
      <c r="E2396" s="2"/>
      <c r="F2396" s="1" t="str">
        <f>"0,00"</f>
        <v>0,00</v>
      </c>
      <c r="G2396" s="1" t="str">
        <f>CONCATENATE("18.12.2014.",CHAR(10),"28.2.2015")</f>
        <v>18.12.2014.
28.2.2015</v>
      </c>
      <c r="H2396" s="1" t="str">
        <f>CONCATENATE("PALIR D.O.O., ZAGREB")</f>
        <v>PALIR D.O.O., ZAGREB</v>
      </c>
      <c r="I2396" s="2"/>
      <c r="J2396" s="1"/>
      <c r="K2396" s="2"/>
    </row>
    <row r="2397" spans="1:11" ht="63" x14ac:dyDescent="0.25">
      <c r="A2397" s="1" t="str">
        <f>"A-149/2014"</f>
        <v>A-149/2014</v>
      </c>
      <c r="B2397" s="1" t="s">
        <v>11</v>
      </c>
      <c r="C2397" s="1" t="s">
        <v>1156</v>
      </c>
      <c r="D2397" s="1" t="str">
        <f>"2789-2013-EVV"</f>
        <v>2789-2013-EVV</v>
      </c>
      <c r="E2397" s="2"/>
      <c r="F2397" s="1" t="str">
        <f>"0,00"</f>
        <v>0,00</v>
      </c>
      <c r="G2397" s="1" t="str">
        <f>CONCATENATE("18.12.2014.",CHAR(10),"31.1.2015")</f>
        <v>18.12.2014.
31.1.2015</v>
      </c>
      <c r="H2397" s="1" t="str">
        <f>CONCATENATE("PRONING-DHI, ZAGREB")</f>
        <v>PRONING-DHI, ZAGREB</v>
      </c>
      <c r="I2397" s="2"/>
      <c r="J2397" s="1"/>
      <c r="K2397" s="2"/>
    </row>
    <row r="2398" spans="1:11" ht="47.25" x14ac:dyDescent="0.25">
      <c r="A2398" s="1" t="str">
        <f>"975/2014"</f>
        <v>975/2014</v>
      </c>
      <c r="B2398" s="1" t="s">
        <v>14</v>
      </c>
      <c r="C2398" s="1" t="s">
        <v>1157</v>
      </c>
      <c r="D2398" s="1" t="str">
        <f>CONCATENATE("1271-2014-EVV",CHAR(10),"2014/S 002-0032551 od 04.07.2014.")</f>
        <v>1271-2014-EVV
2014/S 002-0032551 od 04.07.2014.</v>
      </c>
      <c r="E2398" s="1" t="s">
        <v>15</v>
      </c>
      <c r="F2398" s="1" t="str">
        <f>"987.000,00"</f>
        <v>987.000,00</v>
      </c>
      <c r="G2398" s="1" t="str">
        <f>CONCATENATE("19.12.2014.",CHAR(10),"120 dana od dana obostranog potpisa Ugovora")</f>
        <v>19.12.2014.
120 dana od dana obostranog potpisa Ugovora</v>
      </c>
      <c r="H2398" s="1" t="str">
        <f>CONCATENATE("ZAVOD ZA FOTOGRAMETRIJU D.D., ZAGREB")</f>
        <v>ZAVOD ZA FOTOGRAMETRIJU D.D., ZAGREB</v>
      </c>
      <c r="I2398" s="2"/>
      <c r="J2398" s="1"/>
      <c r="K2398" s="2"/>
    </row>
    <row r="2399" spans="1:11" ht="47.25" x14ac:dyDescent="0.25">
      <c r="A2399" s="1" t="str">
        <f>"R-8/2014"</f>
        <v>R-8/2014</v>
      </c>
      <c r="B2399" s="1" t="s">
        <v>56</v>
      </c>
      <c r="C2399" s="1" t="s">
        <v>1158</v>
      </c>
      <c r="D2399" s="1" t="str">
        <f>"2524-2014-EMV"</f>
        <v>2524-2014-EMV</v>
      </c>
      <c r="E2399" s="2"/>
      <c r="F2399" s="1" t="str">
        <f>"0,00"</f>
        <v>0,00</v>
      </c>
      <c r="G2399" s="1" t="str">
        <f>"19.12.2014."</f>
        <v>19.12.2014.</v>
      </c>
      <c r="H2399" s="1" t="str">
        <f>CONCATENATE("ŠUŠKOVIĆ-GRAĐENJE D.O.O., ZAGREB")</f>
        <v>ŠUŠKOVIĆ-GRAĐENJE D.O.O., ZAGREB</v>
      </c>
      <c r="I2399" s="2"/>
      <c r="J2399" s="1"/>
      <c r="K2399" s="2"/>
    </row>
    <row r="2400" spans="1:11" ht="47.25" x14ac:dyDescent="0.25">
      <c r="A2400" s="1" t="str">
        <f>"976/2014"</f>
        <v>976/2014</v>
      </c>
      <c r="B2400" s="1" t="s">
        <v>14</v>
      </c>
      <c r="C2400" s="1" t="s">
        <v>2890</v>
      </c>
      <c r="D2400" s="1" t="str">
        <f>CONCATENATE("3165-2014-EMV",CHAR(10),"2014/S 015-0056268 od 05.12.2014.")</f>
        <v>3165-2014-EMV
2014/S 015-0056268 od 05.12.2014.</v>
      </c>
      <c r="E2400" s="1" t="s">
        <v>12</v>
      </c>
      <c r="F2400" s="1" t="str">
        <f>"499.790,86"</f>
        <v>499.790,86</v>
      </c>
      <c r="G2400" s="1" t="str">
        <f>CONCATENATE("18.12.2014.",CHAR(10),"10 dana od dana obostranog potpisa Ugovora")</f>
        <v>18.12.2014.
10 dana od dana obostranog potpisa Ugovora</v>
      </c>
      <c r="H2400" s="1" t="str">
        <f>CONCATENATE("ALGORITAM D.O.O., ZAGREB")</f>
        <v>ALGORITAM D.O.O., ZAGREB</v>
      </c>
      <c r="I2400" s="1" t="s">
        <v>238</v>
      </c>
      <c r="J2400" s="1" t="str">
        <f>SUBSTITUTE(SUBSTITUTE(SUBSTITUTE("523,893.12",".","-"),",","."),"-",",")</f>
        <v>523.893,12</v>
      </c>
      <c r="K2400" s="2"/>
    </row>
    <row r="2401" spans="1:11" ht="47.25" x14ac:dyDescent="0.25">
      <c r="A2401" s="1" t="str">
        <f>"977/2014"</f>
        <v>977/2014</v>
      </c>
      <c r="B2401" s="1" t="s">
        <v>14</v>
      </c>
      <c r="C2401" s="1" t="s">
        <v>1159</v>
      </c>
      <c r="D2401" s="1" t="str">
        <f>CONCATENATE("3162-2014-EBV",CHAR(10),"2014/S 015-0056296 od 05.12.2014.")</f>
        <v>3162-2014-EBV
2014/S 015-0056296 od 05.12.2014.</v>
      </c>
      <c r="E2401" s="1" t="s">
        <v>12</v>
      </c>
      <c r="F2401" s="1" t="str">
        <f>"143.204,53"</f>
        <v>143.204,53</v>
      </c>
      <c r="G2401" s="1" t="str">
        <f>CONCATENATE("18.12.2014.",CHAR(10),"10 dana nakon obostranog potpisa Ugovora")</f>
        <v>18.12.2014.
10 dana nakon obostranog potpisa Ugovora</v>
      </c>
      <c r="H2401" s="1" t="str">
        <f>CONCATENATE("MERIDIJANI OBRT ZA IZDAVAČKU DJELTANOST, TRGOVINU I USLUGE, VLASNIK PETRA SOMEK, SAMOBOR")</f>
        <v>MERIDIJANI OBRT ZA IZDAVAČKU DJELTANOST, TRGOVINU I USLUGE, VLASNIK PETRA SOMEK, SAMOBOR</v>
      </c>
      <c r="I2401" s="1" t="s">
        <v>238</v>
      </c>
      <c r="J2401" s="1" t="str">
        <f>SUBSTITUTE(SUBSTITUTE(SUBSTITUTE("150,364.75",".","-"),",","."),"-",",")</f>
        <v>150.364,75</v>
      </c>
      <c r="K2401" s="2"/>
    </row>
    <row r="2402" spans="1:11" ht="47.25" x14ac:dyDescent="0.25">
      <c r="A2402" s="1" t="str">
        <f>"978/2014"</f>
        <v>978/2014</v>
      </c>
      <c r="B2402" s="1" t="s">
        <v>14</v>
      </c>
      <c r="C2402" s="1" t="s">
        <v>2891</v>
      </c>
      <c r="D2402" s="1" t="str">
        <f>CONCATENATE("3164-2014-EMV",CHAR(10),"2014/S 015-0056252 od 05.12.2014.")</f>
        <v>3164-2014-EMV
2014/S 015-0056252 od 05.12.2014.</v>
      </c>
      <c r="E2402" s="1" t="s">
        <v>12</v>
      </c>
      <c r="F2402" s="1" t="str">
        <f>"394.374,88"</f>
        <v>394.374,88</v>
      </c>
      <c r="G2402" s="1" t="str">
        <f>CONCATENATE("18.12.2014.",CHAR(10),"10 dana nakon obostranog potpisa Ugovora")</f>
        <v>18.12.2014.
10 dana nakon obostranog potpisa Ugovora</v>
      </c>
      <c r="H2402" s="1" t="str">
        <f>CONCATENATE("ELEMENT D.O.O., ZAGREB")</f>
        <v>ELEMENT D.O.O., ZAGREB</v>
      </c>
      <c r="I2402" s="1" t="s">
        <v>238</v>
      </c>
      <c r="J2402" s="1" t="str">
        <f>SUBSTITUTE(SUBSTITUTE(SUBSTITUTE("414,092.81",".","-"),",","."),"-",",")</f>
        <v>414.092,81</v>
      </c>
      <c r="K2402" s="2"/>
    </row>
    <row r="2403" spans="1:11" ht="47.25" x14ac:dyDescent="0.25">
      <c r="A2403" s="1" t="str">
        <f>"979/2014"</f>
        <v>979/2014</v>
      </c>
      <c r="B2403" s="1" t="s">
        <v>14</v>
      </c>
      <c r="C2403" s="1" t="s">
        <v>2892</v>
      </c>
      <c r="D2403" s="1" t="str">
        <f>"3167-2014-EVV"</f>
        <v>3167-2014-EVV</v>
      </c>
      <c r="E2403" s="1" t="s">
        <v>12</v>
      </c>
      <c r="F2403" s="1" t="str">
        <f>"2.468.081,95"</f>
        <v>2.468.081,95</v>
      </c>
      <c r="G2403" s="1" t="str">
        <f>CONCATENATE("18.12.2014.",CHAR(10),"10 dana od dana obostranog potpisa Ugovora")</f>
        <v>18.12.2014.
10 dana od dana obostranog potpisa Ugovora</v>
      </c>
      <c r="H2403" s="1" t="str">
        <f>CONCATENATE("ŠKOLSKA KNJIGA D.D., ZAGREB")</f>
        <v>ŠKOLSKA KNJIGA D.D., ZAGREB</v>
      </c>
      <c r="I2403" s="1" t="s">
        <v>238</v>
      </c>
      <c r="J2403" s="1" t="str">
        <f>SUBSTITUTE(SUBSTITUTE(SUBSTITUTE("2,591,486.05",".","-"),",","."),"-",",")</f>
        <v>2.591.486,05</v>
      </c>
      <c r="K2403" s="2"/>
    </row>
    <row r="2404" spans="1:11" ht="63" x14ac:dyDescent="0.25">
      <c r="A2404" s="1" t="str">
        <f>"980/2014"</f>
        <v>980/2014</v>
      </c>
      <c r="B2404" s="1" t="s">
        <v>14</v>
      </c>
      <c r="C2404" s="1" t="s">
        <v>2893</v>
      </c>
      <c r="D2404" s="1" t="str">
        <f>"3166-2014-EMV"</f>
        <v>3166-2014-EMV</v>
      </c>
      <c r="E2404" s="1" t="s">
        <v>12</v>
      </c>
      <c r="F2404" s="1" t="str">
        <f>"963.586,50"</f>
        <v>963.586,50</v>
      </c>
      <c r="G2404" s="1" t="str">
        <f>CONCATENATE("18.12.2014.",CHAR(10),"10 dana od dana obostranog potpisa Ugovora")</f>
        <v>18.12.2014.
10 dana od dana obostranog potpisa Ugovora</v>
      </c>
      <c r="H2404" s="1" t="str">
        <f>CONCATENATE("ALFA D.D. ZA IZDAVAČKE, GRAFIČKE I TRGOVAČKE POSLOVE, ZAGREB")</f>
        <v>ALFA D.D. ZA IZDAVAČKE, GRAFIČKE I TRGOVAČKE POSLOVE, ZAGREB</v>
      </c>
      <c r="I2404" s="1" t="s">
        <v>238</v>
      </c>
      <c r="J2404" s="1" t="str">
        <f>SUBSTITUTE(SUBSTITUTE(SUBSTITUTE("1,011,765.80",".","-"),",","."),"-",",")</f>
        <v>1.011.765,80</v>
      </c>
      <c r="K2404" s="2"/>
    </row>
    <row r="2405" spans="1:11" ht="63" x14ac:dyDescent="0.25">
      <c r="A2405" s="1" t="str">
        <f>"981/2014"</f>
        <v>981/2014</v>
      </c>
      <c r="B2405" s="1" t="s">
        <v>14</v>
      </c>
      <c r="C2405" s="1" t="s">
        <v>1160</v>
      </c>
      <c r="D2405" s="1" t="str">
        <f>CONCATENATE("2997-2014-EMV",CHAR(10),"2014/S 002-0042760 od 11.09.2014.")</f>
        <v>2997-2014-EMV
2014/S 002-0042760 od 11.09.2014.</v>
      </c>
      <c r="E2405" s="1" t="s">
        <v>15</v>
      </c>
      <c r="F2405" s="1" t="str">
        <f>"173.400,00"</f>
        <v>173.400,00</v>
      </c>
      <c r="G2405" s="1" t="str">
        <f>CONCATENATE("22.12.2014.",CHAR(10),"45 dana od dana obostranog potpisa Ugovora")</f>
        <v>22.12.2014.
45 dana od dana obostranog potpisa Ugovora</v>
      </c>
      <c r="H2405" s="1" t="str">
        <f>CONCATENATE("ARHINGTRADE D.O.O., ZAGREB")</f>
        <v>ARHINGTRADE D.O.O., ZAGREB</v>
      </c>
      <c r="I2405" s="1" t="s">
        <v>1161</v>
      </c>
      <c r="J2405" s="1" t="str">
        <f>SUBSTITUTE(SUBSTITUTE(SUBSTITUTE("216,750.00",".","-"),",","."),"-",",")</f>
        <v>216.750,00</v>
      </c>
      <c r="K2405" s="2"/>
    </row>
    <row r="2406" spans="1:11" ht="47.25" x14ac:dyDescent="0.25">
      <c r="A2406" s="1" t="str">
        <f>"A-150/2014"</f>
        <v>A-150/2014</v>
      </c>
      <c r="B2406" s="1" t="s">
        <v>11</v>
      </c>
      <c r="C2406" s="1" t="s">
        <v>1162</v>
      </c>
      <c r="D2406" s="1" t="str">
        <f>"2014-80"</f>
        <v>2014-80</v>
      </c>
      <c r="E2406" s="2"/>
      <c r="F2406" s="1" t="str">
        <f>"0,00"</f>
        <v>0,00</v>
      </c>
      <c r="G2406" s="1" t="str">
        <f>CONCATENATE("21.11.2014.",CHAR(10),"24.11.2014")</f>
        <v>21.11.2014.
24.11.2014</v>
      </c>
      <c r="H2406" s="1" t="str">
        <f>CONCATENATE("GEORAD D.O.O., ZAGREB")</f>
        <v>GEORAD D.O.O., ZAGREB</v>
      </c>
      <c r="I2406" s="2"/>
      <c r="J2406" s="1"/>
      <c r="K2406" s="1" t="s">
        <v>607</v>
      </c>
    </row>
    <row r="2407" spans="1:11" ht="47.25" x14ac:dyDescent="0.25">
      <c r="A2407" s="1" t="str">
        <f>"982/2014"</f>
        <v>982/2014</v>
      </c>
      <c r="B2407" s="1" t="s">
        <v>14</v>
      </c>
      <c r="C2407" s="1" t="s">
        <v>1163</v>
      </c>
      <c r="D2407" s="1" t="str">
        <f>CONCATENATE("3012-2014-EMV",CHAR(10),"2014/S 002-0041257 od 03.09.2014.")</f>
        <v>3012-2014-EMV
2014/S 002-0041257 od 03.09.2014.</v>
      </c>
      <c r="E2407" s="1" t="s">
        <v>15</v>
      </c>
      <c r="F2407" s="1" t="str">
        <f>"333.750,00"</f>
        <v>333.750,00</v>
      </c>
      <c r="G2407" s="1" t="str">
        <f>CONCATENATE("17.12.2014.",CHAR(10),"30 dana od dana obostranog potpisa Ugovora")</f>
        <v>17.12.2014.
30 dana od dana obostranog potpisa Ugovora</v>
      </c>
      <c r="H2407" s="1" t="str">
        <f>CONCATENATE("SIEMENS D.D., ZAGREB")</f>
        <v>SIEMENS D.D., ZAGREB</v>
      </c>
      <c r="I2407" s="1" t="s">
        <v>737</v>
      </c>
      <c r="J2407" s="1" t="str">
        <f>SUBSTITUTE(SUBSTITUTE(SUBSTITUTE("417,187.50",".","-"),",","."),"-",",")</f>
        <v>417.187,50</v>
      </c>
      <c r="K2407" s="2"/>
    </row>
    <row r="2408" spans="1:11" ht="78.75" x14ac:dyDescent="0.25">
      <c r="A2408" s="1" t="str">
        <f>"984/2014"</f>
        <v>984/2014</v>
      </c>
      <c r="B2408" s="1" t="s">
        <v>26</v>
      </c>
      <c r="C2408" s="1" t="s">
        <v>1164</v>
      </c>
      <c r="D2408" s="1" t="str">
        <f>"194-2013-EMV"</f>
        <v>194-2013-EMV</v>
      </c>
      <c r="E2408" s="2"/>
      <c r="F2408" s="1" t="str">
        <f>"164.108,00"</f>
        <v>164.108,00</v>
      </c>
      <c r="G2408" s="1" t="str">
        <f>CONCATENATE("19.12.2014.",CHAR(10),"1 godina od dana obostranog potpisa Ugovora")</f>
        <v>19.12.2014.
1 godina od dana obostranog potpisa Ugovora</v>
      </c>
      <c r="H2408" s="1" t="str">
        <f>CONCATENATE("STROJOOBNOVA OBRT ZA SERVISIRANJE, POPRAVAK I MONTAŽU POLJOPRIVREDNIH STROJEVA, VL. TIHOMOR LJUBIĆ, DONJA PUŠĆA")</f>
        <v>STROJOOBNOVA OBRT ZA SERVISIRANJE, POPRAVAK I MONTAŽU POLJOPRIVREDNIH STROJEVA, VL. TIHOMOR LJUBIĆ, DONJA PUŠĆA</v>
      </c>
      <c r="I2408" s="2"/>
      <c r="J2408" s="1"/>
      <c r="K2408" s="2"/>
    </row>
    <row r="2409" spans="1:11" ht="47.25" x14ac:dyDescent="0.25">
      <c r="A2409" s="1" t="str">
        <f>"985/2014"</f>
        <v>985/2014</v>
      </c>
      <c r="B2409" s="1" t="s">
        <v>136</v>
      </c>
      <c r="C2409" s="1" t="s">
        <v>1165</v>
      </c>
      <c r="D2409" s="1" t="str">
        <f>CONCATENATE("2014-1136",CHAR(10),"2014/S-002-0046562 od 09.10.2014.")</f>
        <v>2014-1136
2014/S-002-0046562 od 09.10.2014.</v>
      </c>
      <c r="E2409" s="1" t="s">
        <v>366</v>
      </c>
      <c r="F2409" s="1" t="str">
        <f>"1.132.900,00"</f>
        <v>1.132.900,00</v>
      </c>
      <c r="G2409" s="1" t="str">
        <f>CONCATENATE("09.12.2014.",CHAR(10),"2 godine")</f>
        <v>09.12.2014.
2 godine</v>
      </c>
      <c r="H2409" s="1" t="str">
        <f>CONCATENATE("RECRO-NET D.O.O., ZAGREB-SLOBOŠTINA")</f>
        <v>RECRO-NET D.O.O., ZAGREB-SLOBOŠTINA</v>
      </c>
      <c r="I2409" s="2"/>
      <c r="J2409" s="1"/>
      <c r="K2409" s="1" t="s">
        <v>607</v>
      </c>
    </row>
    <row r="2410" spans="1:11" ht="47.25" x14ac:dyDescent="0.25">
      <c r="A2410" s="1" t="str">
        <f>"986/2014"</f>
        <v>986/2014</v>
      </c>
      <c r="B2410" s="1" t="s">
        <v>14</v>
      </c>
      <c r="C2410" s="1" t="s">
        <v>1166</v>
      </c>
      <c r="D2410" s="1" t="str">
        <f>CONCATENATE("1175-2014-EBV",CHAR(10),"2014/S 015-0055400 od 02.12.2014.")</f>
        <v>1175-2014-EBV
2014/S 015-0055400 od 02.12.2014.</v>
      </c>
      <c r="E2410" s="1" t="s">
        <v>12</v>
      </c>
      <c r="F2410" s="1" t="str">
        <f>"150.106,42"</f>
        <v>150.106,42</v>
      </c>
      <c r="G2410" s="1" t="str">
        <f>CONCATENATE("15.12.2014.",CHAR(10),"30 dana od dana uvođenja u posao")</f>
        <v>15.12.2014.
30 dana od dana uvođenja u posao</v>
      </c>
      <c r="H2410" s="1" t="str">
        <f>CONCATENATE("P.G.P. D.O.O., ZAGREB")</f>
        <v>P.G.P. D.O.O., ZAGREB</v>
      </c>
      <c r="I2410" s="2"/>
      <c r="J2410" s="1"/>
      <c r="K2410" s="2"/>
    </row>
    <row r="2411" spans="1:11" ht="47.25" x14ac:dyDescent="0.25">
      <c r="A2411" s="1" t="str">
        <f>"987/2014"</f>
        <v>987/2014</v>
      </c>
      <c r="B2411" s="1" t="s">
        <v>14</v>
      </c>
      <c r="C2411" s="1" t="s">
        <v>1167</v>
      </c>
      <c r="D2411" s="1" t="str">
        <f>CONCATENATE("907-2014-EMV",CHAR(10),"2014/S 002-0045205 od 29.09.2014.")</f>
        <v>907-2014-EMV
2014/S 002-0045205 od 29.09.2014.</v>
      </c>
      <c r="E2411" s="1" t="s">
        <v>15</v>
      </c>
      <c r="F2411" s="1" t="str">
        <f>"1.986.845,00"</f>
        <v>1.986.845,00</v>
      </c>
      <c r="G2411" s="1" t="str">
        <f>CONCATENATE("10.12.2014.",CHAR(10),"60 dana od dana uvođenja u posao")</f>
        <v>10.12.2014.
60 dana od dana uvođenja u posao</v>
      </c>
      <c r="H2411" s="1" t="str">
        <f>CONCATENATE("P.G.P. D.O.O., ZAGREB")</f>
        <v>P.G.P. D.O.O., ZAGREB</v>
      </c>
      <c r="I2411" s="2"/>
      <c r="J2411" s="1"/>
      <c r="K2411" s="2"/>
    </row>
    <row r="2412" spans="1:11" ht="47.25" x14ac:dyDescent="0.25">
      <c r="A2412" s="1" t="str">
        <f>"988/2014"</f>
        <v>988/2014</v>
      </c>
      <c r="B2412" s="1" t="s">
        <v>14</v>
      </c>
      <c r="C2412" s="1" t="s">
        <v>1168</v>
      </c>
      <c r="D2412" s="1" t="str">
        <f>CONCATENATE("3156-2014-EBV",CHAR(10),"2014/S 015-0056808 od 10.12.2014.")</f>
        <v>3156-2014-EBV
2014/S 015-0056808 od 10.12.2014.</v>
      </c>
      <c r="E2412" s="1" t="s">
        <v>12</v>
      </c>
      <c r="F2412" s="1" t="str">
        <f>"199.882,21"</f>
        <v>199.882,21</v>
      </c>
      <c r="G2412" s="1" t="str">
        <f>CONCATENATE("22.12.2014.",CHAR(10),"10 dana od dana obostranog potpisa Ugovora")</f>
        <v>22.12.2014.
10 dana od dana obostranog potpisa Ugovora</v>
      </c>
      <c r="H2412" s="1" t="str">
        <f>CONCATENATE("NAKLADA LJEVAK D.O.O., ZAGREB")</f>
        <v>NAKLADA LJEVAK D.O.O., ZAGREB</v>
      </c>
      <c r="I2412" s="1" t="s">
        <v>518</v>
      </c>
      <c r="J2412" s="1" t="str">
        <f>SUBSTITUTE(SUBSTITUTE(SUBSTITUTE("209,876.32",".","-"),",","."),"-",",")</f>
        <v>209.876,32</v>
      </c>
      <c r="K2412" s="2"/>
    </row>
    <row r="2413" spans="1:11" ht="110.25" x14ac:dyDescent="0.25">
      <c r="A2413" s="1" t="str">
        <f>"A-151/2014"</f>
        <v>A-151/2014</v>
      </c>
      <c r="B2413" s="1" t="s">
        <v>11</v>
      </c>
      <c r="C2413" s="1" t="s">
        <v>1169</v>
      </c>
      <c r="D2413" s="1" t="str">
        <f>"1299-2014-EMV"</f>
        <v>1299-2014-EMV</v>
      </c>
      <c r="E2413" s="2"/>
      <c r="F2413" s="1" t="str">
        <f>"396.010,46"</f>
        <v>396.010,46</v>
      </c>
      <c r="G2413" s="1" t="str">
        <f>"23.12.2014."</f>
        <v>23.12.2014.</v>
      </c>
      <c r="H2413" s="1" t="str">
        <f>CONCATENATE("1. Zajednica ponuditelja: ",CHAR(10),"    M. SOLDO D.O.O., ZAGREB",CHAR(10),"    COLAS HRVATSKA D.D., VARAŽDIN",CHAR(10),"    STIPE LUCIĆ KAMENARSKI CENTAR I KLESARSTVO, OBRT ZA OBLIKOVANJE I UGRADNJU KAMENA, VL. BERNARD LUCIĆ, SAMOBOR")</f>
        <v>1. Zajednica ponuditelja: 
    M. SOLDO D.O.O., ZAGREB
    COLAS HRVATSKA D.D., VARAŽDIN
    STIPE LUCIĆ KAMENARSKI CENTAR I KLESARSTVO, OBRT ZA OBLIKOVANJE I UGRADNJU KAMENA, VL. BERNARD LUCIĆ, SAMOBOR</v>
      </c>
      <c r="I2413" s="2"/>
      <c r="J2413" s="1"/>
      <c r="K2413" s="2"/>
    </row>
    <row r="2414" spans="1:11" ht="78.75" x14ac:dyDescent="0.25">
      <c r="A2414" s="1" t="str">
        <f>"A-152/2014"</f>
        <v>A-152/2014</v>
      </c>
      <c r="B2414" s="1" t="s">
        <v>11</v>
      </c>
      <c r="C2414" s="1" t="s">
        <v>1170</v>
      </c>
      <c r="D2414" s="1" t="str">
        <f>"1960-2013-EMV"</f>
        <v>1960-2013-EMV</v>
      </c>
      <c r="E2414" s="2"/>
      <c r="F2414" s="1" t="str">
        <f>"0,00"</f>
        <v>0,00</v>
      </c>
      <c r="G2414" s="1" t="str">
        <f>CONCATENATE("23.12.2014.",CHAR(10),"01.06.2015")</f>
        <v>23.12.2014.
01.06.2015</v>
      </c>
      <c r="H2414" s="1" t="str">
        <f>CONCATENATE("BOMAT-PROJEKT D.O.O., ZAGREB")</f>
        <v>BOMAT-PROJEKT D.O.O., ZAGREB</v>
      </c>
      <c r="I2414" s="2"/>
      <c r="J2414" s="1"/>
      <c r="K2414" s="2"/>
    </row>
    <row r="2415" spans="1:11" ht="47.25" x14ac:dyDescent="0.25">
      <c r="A2415" s="1" t="str">
        <f>"989/2014"</f>
        <v>989/2014</v>
      </c>
      <c r="B2415" s="1" t="s">
        <v>26</v>
      </c>
      <c r="C2415" s="1" t="s">
        <v>1131</v>
      </c>
      <c r="D2415" s="1" t="str">
        <f>"2014-623"</f>
        <v>2014-623</v>
      </c>
      <c r="E2415" s="2"/>
      <c r="F2415" s="1" t="str">
        <f>"2.451.300,00"</f>
        <v>2.451.300,00</v>
      </c>
      <c r="G2415" s="1" t="str">
        <f>CONCATENATE("23.12.2014.",CHAR(10),"31.03.2015")</f>
        <v>23.12.2014.
31.03.2015</v>
      </c>
      <c r="H2415" s="1" t="str">
        <f>CONCATENATE("IKOM D.O.O., ZAGREB-SUSEDGRAD")</f>
        <v>IKOM D.O.O., ZAGREB-SUSEDGRAD</v>
      </c>
      <c r="I2415" s="1" t="s">
        <v>620</v>
      </c>
      <c r="J2415" s="1" t="str">
        <f>SUBSTITUTE(SUBSTITUTE(SUBSTITUTE("3,064,125.00",".","-"),",","."),"-",",")</f>
        <v>3.064.125,00</v>
      </c>
      <c r="K2415" s="1" t="s">
        <v>607</v>
      </c>
    </row>
    <row r="2416" spans="1:11" ht="47.25" x14ac:dyDescent="0.25">
      <c r="A2416" s="1" t="str">
        <f>"990/2014"</f>
        <v>990/2014</v>
      </c>
      <c r="B2416" s="1" t="s">
        <v>14</v>
      </c>
      <c r="C2416" s="1" t="s">
        <v>2894</v>
      </c>
      <c r="D2416" s="1" t="str">
        <f>CONCATENATE("3160-2014-EBV",CHAR(10),"2014/S 015-0056814 od 10.12.2014.")</f>
        <v>3160-2014-EBV
2014/S 015-0056814 od 10.12.2014.</v>
      </c>
      <c r="E2416" s="1" t="s">
        <v>12</v>
      </c>
      <c r="F2416" s="1" t="str">
        <f>"134.146,25"</f>
        <v>134.146,25</v>
      </c>
      <c r="G2416" s="1" t="str">
        <f>CONCATENATE("22.12.2014.",CHAR(10),"10 dana od dana obostranog potpisa Ugovora")</f>
        <v>22.12.2014.
10 dana od dana obostranog potpisa Ugovora</v>
      </c>
      <c r="H2416" s="1" t="str">
        <f>CONCATENATE("KLETT VERLAG D.O.O., ZAGREB")</f>
        <v>KLETT VERLAG D.O.O., ZAGREB</v>
      </c>
      <c r="I2416" s="1" t="s">
        <v>518</v>
      </c>
      <c r="J2416" s="1" t="str">
        <f>SUBSTITUTE(SUBSTITUTE(SUBSTITUTE("140,853.56",".","-"),",","."),"-",",")</f>
        <v>140.853,56</v>
      </c>
      <c r="K2416" s="2"/>
    </row>
    <row r="2417" spans="1:11" ht="47.25" x14ac:dyDescent="0.25">
      <c r="A2417" s="1" t="str">
        <f>"991/2014"</f>
        <v>991/2014</v>
      </c>
      <c r="B2417" s="1" t="s">
        <v>14</v>
      </c>
      <c r="C2417" s="1" t="s">
        <v>2895</v>
      </c>
      <c r="D2417" s="1" t="str">
        <f>CONCATENATE("3157-2014-EBV",CHAR(10),"2014/S 015-0056719 od 09.12.2014.")</f>
        <v>3157-2014-EBV
2014/S 015-0056719 od 09.12.2014.</v>
      </c>
      <c r="E2417" s="1" t="s">
        <v>12</v>
      </c>
      <c r="F2417" s="1" t="str">
        <f>"107.762,43"</f>
        <v>107.762,43</v>
      </c>
      <c r="G2417" s="1" t="str">
        <f>CONCATENATE("22.12.2014.",CHAR(10),"10 dana nakon obostranog potpisa ugovora")</f>
        <v>22.12.2014.
10 dana nakon obostranog potpisa ugovora</v>
      </c>
      <c r="H2417" s="1" t="str">
        <f>CONCATENATE("V.B.Z. D.O.O., ZAGREB")</f>
        <v>V.B.Z. D.O.O., ZAGREB</v>
      </c>
      <c r="I2417" s="1" t="s">
        <v>518</v>
      </c>
      <c r="J2417" s="1" t="str">
        <f>SUBSTITUTE(SUBSTITUTE(SUBSTITUTE("113,148.78",".","-"),",","."),"-",",")</f>
        <v>113.148,78</v>
      </c>
      <c r="K2417" s="2"/>
    </row>
    <row r="2418" spans="1:11" ht="47.25" x14ac:dyDescent="0.25">
      <c r="A2418" s="1" t="str">
        <f>"992/2014"</f>
        <v>992/2014</v>
      </c>
      <c r="B2418" s="1" t="s">
        <v>14</v>
      </c>
      <c r="C2418" s="1" t="s">
        <v>1171</v>
      </c>
      <c r="D2418" s="1" t="str">
        <f>CONCATENATE("1272-2014-EMV",CHAR(10),"2014/S 002-0041672 od 04.09.2014.")</f>
        <v>1272-2014-EMV
2014/S 002-0041672 od 04.09.2014.</v>
      </c>
      <c r="E2418" s="1" t="s">
        <v>15</v>
      </c>
      <c r="F2418" s="1" t="str">
        <f>"1.253.001,00"</f>
        <v>1.253.001,00</v>
      </c>
      <c r="G2418" s="1" t="str">
        <f>CONCATENATE("29.12.2014.",CHAR(10),"60 dana od dana uvođenja u posao")</f>
        <v>29.12.2014.
60 dana od dana uvođenja u posao</v>
      </c>
      <c r="H2418" s="1" t="str">
        <f>CONCATENATE("M. SOLDO D.O.O., ZAGREB")</f>
        <v>M. SOLDO D.O.O., ZAGREB</v>
      </c>
      <c r="I2418" s="2"/>
      <c r="J2418" s="1"/>
      <c r="K2418" s="2"/>
    </row>
    <row r="2419" spans="1:11" ht="47.25" x14ac:dyDescent="0.25">
      <c r="A2419" s="1" t="str">
        <f>"993/2014"</f>
        <v>993/2014</v>
      </c>
      <c r="B2419" s="1" t="s">
        <v>14</v>
      </c>
      <c r="C2419" s="1" t="s">
        <v>1172</v>
      </c>
      <c r="D2419" s="1" t="str">
        <f>CONCATENATE("1315-2014-EMV",CHAR(10),"2014/S 0044538 od 24.09.2014.")</f>
        <v>1315-2014-EMV
2014/S 0044538 od 24.09.2014.</v>
      </c>
      <c r="E2419" s="1" t="s">
        <v>15</v>
      </c>
      <c r="F2419" s="1" t="str">
        <f>"499.730,00"</f>
        <v>499.730,00</v>
      </c>
      <c r="G2419" s="1" t="str">
        <f>CONCATENATE("29.12.2014.",CHAR(10),"45 dana od dana uvođenja u posao")</f>
        <v>29.12.2014.
45 dana od dana uvođenja u posao</v>
      </c>
      <c r="H2419" s="1" t="str">
        <f>CONCATENATE("P.G.P. D.O.O., ZAGREB")</f>
        <v>P.G.P. D.O.O., ZAGREB</v>
      </c>
      <c r="I2419" s="2"/>
      <c r="J2419" s="1"/>
      <c r="K2419" s="2"/>
    </row>
    <row r="2420" spans="1:11" ht="47.25" x14ac:dyDescent="0.25">
      <c r="A2420" s="1" t="str">
        <f>"994/2014"</f>
        <v>994/2014</v>
      </c>
      <c r="B2420" s="1" t="s">
        <v>26</v>
      </c>
      <c r="C2420" s="1" t="s">
        <v>1173</v>
      </c>
      <c r="D2420" s="1" t="str">
        <f>"2014-451"</f>
        <v>2014-451</v>
      </c>
      <c r="E2420" s="2"/>
      <c r="F2420" s="1" t="str">
        <f>"747.892,50"</f>
        <v>747.892,50</v>
      </c>
      <c r="G2420" s="1" t="str">
        <f>CONCATENATE("29.12.2014.",CHAR(10),"31.07.2015")</f>
        <v>29.12.2014.
31.07.2015</v>
      </c>
      <c r="H2420" s="1" t="str">
        <f>CONCATENATE("OMNIMERKUR D.O.O., GORNJI STUPNIK")</f>
        <v>OMNIMERKUR D.O.O., GORNJI STUPNIK</v>
      </c>
      <c r="I2420" s="2"/>
      <c r="J2420" s="1"/>
      <c r="K2420" s="1" t="s">
        <v>607</v>
      </c>
    </row>
    <row r="2421" spans="1:11" ht="47.25" x14ac:dyDescent="0.25">
      <c r="A2421" s="1" t="str">
        <f>"995/2014"</f>
        <v>995/2014</v>
      </c>
      <c r="B2421" s="1" t="s">
        <v>14</v>
      </c>
      <c r="C2421" s="1" t="s">
        <v>2896</v>
      </c>
      <c r="D2421" s="1" t="str">
        <f>CONCATENATE("3158-2014-EBV",CHAR(10),"2014/S 015-0056825 od 10.12.2014.")</f>
        <v>3158-2014-EBV
2014/S 015-0056825 od 10.12.2014.</v>
      </c>
      <c r="E2421" s="1" t="s">
        <v>12</v>
      </c>
      <c r="F2421" s="1" t="str">
        <f>"109.967,43"</f>
        <v>109.967,43</v>
      </c>
      <c r="G2421" s="1" t="str">
        <f>CONCATENATE("22.12.2014.",CHAR(10),"10 dana od obostranog potpisa Ugovora")</f>
        <v>22.12.2014.
10 dana od obostranog potpisa Ugovora</v>
      </c>
      <c r="H2421" s="1" t="str">
        <f>CONCATENATE("ALKA SCRIPT D.O.O., ZAGREB")</f>
        <v>ALKA SCRIPT D.O.O., ZAGREB</v>
      </c>
      <c r="I2421" s="1" t="s">
        <v>518</v>
      </c>
      <c r="J2421" s="1" t="str">
        <f>SUBSTITUTE(SUBSTITUTE(SUBSTITUTE("115,465.80",".","-"),",","."),"-",",")</f>
        <v>115.465,80</v>
      </c>
      <c r="K2421" s="2"/>
    </row>
    <row r="2422" spans="1:11" ht="157.5" x14ac:dyDescent="0.25">
      <c r="A2422" s="1" t="str">
        <f>"996/2014"</f>
        <v>996/2014</v>
      </c>
      <c r="B2422" s="1" t="s">
        <v>136</v>
      </c>
      <c r="C2422" s="1" t="s">
        <v>1174</v>
      </c>
      <c r="D2422" s="1" t="str">
        <f>CONCATENATE("2014-2534",CHAR(10),"2014/S-002-0041581 od 04.09.2014.")</f>
        <v>2014-2534
2014/S-002-0041581 od 04.09.2014.</v>
      </c>
      <c r="E2422" s="1" t="s">
        <v>366</v>
      </c>
      <c r="F2422" s="1" t="str">
        <f>"2.301.485,62"</f>
        <v>2.301.485,62</v>
      </c>
      <c r="G2422" s="1" t="str">
        <f>CONCATENATE("09.12.2014.",CHAR(10),"2 godine")</f>
        <v>09.12.2014.
2 godine</v>
      </c>
      <c r="H2422" s="1" t="str">
        <f>CONCATENATE("1. SMIT COMMERCE D.O.O., GORNJI STUPNIK",CHAR(10),"2. Zajednica ponuditelja: ",CHAR(10),"    OMNIMERKUR D.O.O., GORNJI STUPNIK",CHAR(10),"    BIDD-SAMOBOR D.O.O., SAMOBOR",CHAR(10),"3. MICK D.O.O., KUKULJANOVO",CHAR(10),"4. VODOSKOK D.D., ZAGREB",CHAR(10),"5. STROJOPROMET-ZAGREB D.O.O., ŠENKOVEC")</f>
        <v>1. SMIT COMMERCE D.O.O., GORNJI STUPNIK
2. Zajednica ponuditelja: 
    OMNIMERKUR D.O.O., GORNJI STUPNIK
    BIDD-SAMOBOR D.O.O., SAMOBOR
3. MICK D.O.O., KUKULJANOVO
4. VODOSKOK D.D., ZAGREB
5. STROJOPROMET-ZAGREB D.O.O., ŠENKOVEC</v>
      </c>
      <c r="I2422" s="2"/>
      <c r="J2422" s="1"/>
      <c r="K2422" s="1" t="s">
        <v>607</v>
      </c>
    </row>
    <row r="2423" spans="1:11" ht="47.25" x14ac:dyDescent="0.25">
      <c r="A2423" s="1" t="str">
        <f>"997/2014"</f>
        <v>997/2014</v>
      </c>
      <c r="B2423" s="1" t="s">
        <v>14</v>
      </c>
      <c r="C2423" s="1" t="s">
        <v>1175</v>
      </c>
      <c r="D2423" s="1" t="str">
        <f>CONCATENATE("2781-2014-EMV",CHAR(10),"2014-S 002-0037378 od 01.08.2014.")</f>
        <v>2781-2014-EMV
2014-S 002-0037378 od 01.08.2014.</v>
      </c>
      <c r="E2423" s="1" t="s">
        <v>15</v>
      </c>
      <c r="F2423" s="1" t="str">
        <f>"563.580,00"</f>
        <v>563.580,00</v>
      </c>
      <c r="G2423" s="1" t="str">
        <f>CONCATENATE("29.12.2014.",CHAR(10),"60 dana od dana uvođenja u posao")</f>
        <v>29.12.2014.
60 dana od dana uvođenja u posao</v>
      </c>
      <c r="H2423" s="1" t="str">
        <f>CONCATENATE("FOTON PROMET D.O.O., SESVETE")</f>
        <v>FOTON PROMET D.O.O., SESVETE</v>
      </c>
      <c r="I2423" s="2"/>
      <c r="J2423" s="1"/>
      <c r="K2423" s="2"/>
    </row>
    <row r="2424" spans="1:11" ht="47.25" x14ac:dyDescent="0.25">
      <c r="A2424" s="1" t="str">
        <f>"998/2014"</f>
        <v>998/2014</v>
      </c>
      <c r="B2424" s="1" t="s">
        <v>26</v>
      </c>
      <c r="C2424" s="1" t="s">
        <v>1176</v>
      </c>
      <c r="D2424" s="1" t="str">
        <f>"587-2014-EMV"</f>
        <v>587-2014-EMV</v>
      </c>
      <c r="E2424" s="2"/>
      <c r="F2424" s="1" t="str">
        <f>"419.300,00"</f>
        <v>419.300,00</v>
      </c>
      <c r="G2424" s="1" t="str">
        <f>CONCATENATE("29.12.2014.",CHAR(10),"12 mjeseci od dana obostranog potpisa Ugovora")</f>
        <v>29.12.2014.
12 mjeseci od dana obostranog potpisa Ugovora</v>
      </c>
      <c r="H2424" s="1" t="str">
        <f>CONCATENATE("GRADITELJ SVRATIŠTA D.O.O., ZAGREB")</f>
        <v>GRADITELJ SVRATIŠTA D.O.O., ZAGREB</v>
      </c>
      <c r="I2424" s="2"/>
      <c r="J2424" s="1"/>
      <c r="K2424" s="2"/>
    </row>
    <row r="2425" spans="1:11" ht="47.25" x14ac:dyDescent="0.25">
      <c r="A2425" s="1" t="str">
        <f>"999/2014"</f>
        <v>999/2014</v>
      </c>
      <c r="B2425" s="1" t="s">
        <v>14</v>
      </c>
      <c r="C2425" s="1" t="s">
        <v>2897</v>
      </c>
      <c r="D2425" s="1" t="str">
        <f>CONCATENATE("3163-2014-EMV",CHAR(10),"2014/S 015-0055107 od 01.12.2014.")</f>
        <v>3163-2014-EMV
2014/S 015-0055107 od 01.12.2014.</v>
      </c>
      <c r="E2425" s="1" t="s">
        <v>12</v>
      </c>
      <c r="F2425" s="1" t="str">
        <f>"301.059,41"</f>
        <v>301.059,41</v>
      </c>
      <c r="G2425" s="1" t="str">
        <f>CONCATENATE("18.12.2014.",CHAR(10),"10 dana od obostranog potpisa Ugovora")</f>
        <v>18.12.2014.
10 dana od obostranog potpisa Ugovora</v>
      </c>
      <c r="H2425" s="1" t="str">
        <f>CONCATENATE("NEODIDACTA D.O.O., ZAGREB")</f>
        <v>NEODIDACTA D.O.O., ZAGREB</v>
      </c>
      <c r="I2425" s="1" t="s">
        <v>238</v>
      </c>
      <c r="J2425" s="1" t="str">
        <f>SUBSTITUTE(SUBSTITUTE(SUBSTITUTE("314,979.45",".","-"),",","."),"-",",")</f>
        <v>314.979,45</v>
      </c>
      <c r="K2425" s="2"/>
    </row>
    <row r="2426" spans="1:11" ht="94.5" x14ac:dyDescent="0.25">
      <c r="A2426" s="1" t="str">
        <f>"1000/2014"</f>
        <v>1000/2014</v>
      </c>
      <c r="B2426" s="1" t="s">
        <v>26</v>
      </c>
      <c r="C2426" s="1" t="s">
        <v>1177</v>
      </c>
      <c r="D2426" s="1" t="str">
        <f>"246-2014-EVV"</f>
        <v>246-2014-EVV</v>
      </c>
      <c r="E2426" s="2"/>
      <c r="F2426" s="1" t="str">
        <f>"1.080.000,00"</f>
        <v>1.080.000,00</v>
      </c>
      <c r="G2426" s="1" t="str">
        <f>CONCATENATE("30.12.2014.",CHAR(10),"12 mjeseci od dana obostranog potpisa Ugovora")</f>
        <v>30.12.2014.
12 mjeseci od dana obostranog potpisa Ugovora</v>
      </c>
      <c r="H2426" s="1" t="str">
        <f>CONCATENATE("IN2 D.O.O., ZAGREB")</f>
        <v>IN2 D.O.O., ZAGREB</v>
      </c>
      <c r="I2426" s="2"/>
      <c r="J2426" s="1"/>
      <c r="K2426" s="2"/>
    </row>
    <row r="2427" spans="1:11" ht="31.5" x14ac:dyDescent="0.25">
      <c r="A2427" s="1" t="str">
        <f>"A-154/2014"</f>
        <v>A-154/2014</v>
      </c>
      <c r="B2427" s="1" t="s">
        <v>11</v>
      </c>
      <c r="C2427" s="1" t="s">
        <v>1178</v>
      </c>
      <c r="D2427" s="1" t="str">
        <f>"3013-2014-EMV"</f>
        <v>3013-2014-EMV</v>
      </c>
      <c r="E2427" s="2"/>
      <c r="F2427" s="1" t="str">
        <f>"0,00"</f>
        <v>0,00</v>
      </c>
      <c r="G2427" s="1" t="str">
        <f>"22.12.2014."</f>
        <v>22.12.2014.</v>
      </c>
      <c r="H2427" s="1" t="str">
        <f>CONCATENATE("GRAĐEVINARSTVO VL. MIJO STIPIĆ, SVETI IVAN ZELINA")</f>
        <v>GRAĐEVINARSTVO VL. MIJO STIPIĆ, SVETI IVAN ZELINA</v>
      </c>
      <c r="I2427" s="2"/>
      <c r="J2427" s="1"/>
      <c r="K2427" s="2"/>
    </row>
    <row r="2428" spans="1:11" ht="47.25" x14ac:dyDescent="0.25">
      <c r="A2428" s="1" t="str">
        <f>"1001/2014"</f>
        <v>1001/2014</v>
      </c>
      <c r="B2428" s="1" t="s">
        <v>14</v>
      </c>
      <c r="C2428" s="1" t="s">
        <v>1179</v>
      </c>
      <c r="D2428" s="1" t="str">
        <f>CONCATENATE("1140-2013-EMV",CHAR(10),"2013-S 002-0038514 od 25.04.2013.")</f>
        <v>1140-2013-EMV
2013-S 002-0038514 od 25.04.2013.</v>
      </c>
      <c r="E2428" s="1" t="s">
        <v>15</v>
      </c>
      <c r="F2428" s="1" t="str">
        <f>"1.245.695,50"</f>
        <v>1.245.695,50</v>
      </c>
      <c r="G2428" s="1" t="str">
        <f>CONCATENATE("30.12.2014.",CHAR(10),"12 mjeseci od dana uvođenja u posao")</f>
        <v>30.12.2014.
12 mjeseci od dana uvođenja u posao</v>
      </c>
      <c r="H2428" s="1" t="str">
        <f>CONCATENATE("TEH-GRADNJA D.O.O., ZAGREB")</f>
        <v>TEH-GRADNJA D.O.O., ZAGREB</v>
      </c>
      <c r="I2428" s="2"/>
      <c r="J2428" s="1"/>
      <c r="K2428" s="2"/>
    </row>
    <row r="2429" spans="1:11" ht="47.25" x14ac:dyDescent="0.25">
      <c r="A2429" s="1" t="str">
        <f>"1002/2014"</f>
        <v>1002/2014</v>
      </c>
      <c r="B2429" s="1" t="s">
        <v>136</v>
      </c>
      <c r="C2429" s="1" t="s">
        <v>1180</v>
      </c>
      <c r="D2429" s="1" t="str">
        <f>CONCATENATE("2338-2014-EVV",CHAR(10),"2014/S 002-0035921 od 23.07.2014.")</f>
        <v>2338-2014-EVV
2014/S 002-0035921 od 23.07.2014.</v>
      </c>
      <c r="E2429" s="1" t="s">
        <v>366</v>
      </c>
      <c r="F2429" s="1" t="str">
        <f>"2.480.071,00"</f>
        <v>2.480.071,00</v>
      </c>
      <c r="G2429" s="1" t="str">
        <f>CONCATENATE("31.12.2014.",CHAR(10),"2 godine")</f>
        <v>31.12.2014.
2 godine</v>
      </c>
      <c r="H2429" s="1" t="str">
        <f>CONCATENATE("AG SJAJ D.O.O., ZAGREB")</f>
        <v>AG SJAJ D.O.O., ZAGREB</v>
      </c>
      <c r="I2429" s="2"/>
      <c r="J2429" s="1"/>
      <c r="K2429" s="2"/>
    </row>
    <row r="2430" spans="1:11" ht="47.25" x14ac:dyDescent="0.25">
      <c r="A2430" s="1" t="str">
        <f>"1003/2014"</f>
        <v>1003/2014</v>
      </c>
      <c r="B2430" s="1" t="s">
        <v>26</v>
      </c>
      <c r="C2430" s="1" t="s">
        <v>2888</v>
      </c>
      <c r="D2430" s="1" t="str">
        <f>"2014-2206"</f>
        <v>2014-2206</v>
      </c>
      <c r="E2430" s="2"/>
      <c r="F2430" s="1" t="str">
        <f>"45.000,00"</f>
        <v>45.000,00</v>
      </c>
      <c r="G2430" s="1" t="str">
        <f>CONCATENATE("31.12.2014.",CHAR(10),"31.03.2015")</f>
        <v>31.12.2014.
31.03.2015</v>
      </c>
      <c r="H2430" s="1" t="str">
        <f>CONCATENATE("HM-PATRIA D.O.O., ZAGREB")</f>
        <v>HM-PATRIA D.O.O., ZAGREB</v>
      </c>
      <c r="I2430" s="1" t="s">
        <v>1181</v>
      </c>
      <c r="J2430" s="1" t="str">
        <f>SUBSTITUTE(SUBSTITUTE(SUBSTITUTE("22,312.50",".","-"),",","."),"-",",")</f>
        <v>22.312,50</v>
      </c>
      <c r="K2430" s="1" t="s">
        <v>607</v>
      </c>
    </row>
    <row r="2431" spans="1:11" ht="47.25" x14ac:dyDescent="0.25">
      <c r="A2431" s="1" t="str">
        <f>"1004/2014"</f>
        <v>1004/2014</v>
      </c>
      <c r="B2431" s="1" t="s">
        <v>26</v>
      </c>
      <c r="C2431" s="1" t="s">
        <v>1182</v>
      </c>
      <c r="D2431" s="1" t="str">
        <f>"2014-2200"</f>
        <v>2014-2200</v>
      </c>
      <c r="E2431" s="2"/>
      <c r="F2431" s="1" t="str">
        <f>"144.000,00"</f>
        <v>144.000,00</v>
      </c>
      <c r="G2431" s="1" t="str">
        <f>CONCATENATE("31.12.2014.",CHAR(10),"31.03.2015")</f>
        <v>31.12.2014.
31.03.2015</v>
      </c>
      <c r="H2431" s="1" t="str">
        <f>CONCATENATE("TROL DK D.O.O., ZAGREB")</f>
        <v>TROL DK D.O.O., ZAGREB</v>
      </c>
      <c r="I2431" s="1" t="s">
        <v>620</v>
      </c>
      <c r="J2431" s="1" t="str">
        <f>SUBSTITUTE(SUBSTITUTE(SUBSTITUTE("133,500.00",".","-"),",","."),"-",",")</f>
        <v>133.500,00</v>
      </c>
      <c r="K2431" s="1" t="s">
        <v>607</v>
      </c>
    </row>
    <row r="2432" spans="1:11" ht="63" x14ac:dyDescent="0.25">
      <c r="A2432" s="1" t="str">
        <f>"1/2015"</f>
        <v>1/2015</v>
      </c>
      <c r="B2432" s="1" t="s">
        <v>26</v>
      </c>
      <c r="C2432" s="1" t="s">
        <v>1183</v>
      </c>
      <c r="D2432" s="1" t="str">
        <f>"2014-771"</f>
        <v>2014-771</v>
      </c>
      <c r="E2432" s="2"/>
      <c r="F2432" s="1" t="str">
        <f>"1.189.035,00"</f>
        <v>1.189.035,00</v>
      </c>
      <c r="G2432" s="1" t="str">
        <f>CONCATENATE("30.12.2014.",CHAR(10),"30 dana od dana uvođenja u posao")</f>
        <v>30.12.2014.
30 dana od dana uvođenja u posao</v>
      </c>
      <c r="H2432" s="1" t="str">
        <f>CONCATENATE("TIGRA D.O.O., ZAGREB")</f>
        <v>TIGRA D.O.O., ZAGREB</v>
      </c>
      <c r="I2432" s="2"/>
      <c r="J2432" s="1"/>
      <c r="K2432" s="1" t="s">
        <v>607</v>
      </c>
    </row>
    <row r="2433" spans="1:11" ht="47.25" x14ac:dyDescent="0.25">
      <c r="A2433" s="1" t="str">
        <f>"A-1/2015"</f>
        <v>A-1/2015</v>
      </c>
      <c r="B2433" s="1" t="s">
        <v>11</v>
      </c>
      <c r="C2433" s="1" t="s">
        <v>1184</v>
      </c>
      <c r="D2433" s="1" t="str">
        <f>"1147-2013-EMV"</f>
        <v>1147-2013-EMV</v>
      </c>
      <c r="E2433" s="2"/>
      <c r="F2433" s="1" t="str">
        <f>"8.400,00"</f>
        <v>8.400,00</v>
      </c>
      <c r="G2433" s="1" t="str">
        <f>"30.12.2014."</f>
        <v>30.12.2014.</v>
      </c>
      <c r="H2433" s="1" t="str">
        <f>CONCATENATE("1. Zajednica ponuditelja: ",CHAR(10),"    TA-GRAD D.O.O., ZAGREB",CHAR(10),"    TERRACOTTA D.O.O., ZAGREB")</f>
        <v>1. Zajednica ponuditelja: 
    TA-GRAD D.O.O., ZAGREB
    TERRACOTTA D.O.O., ZAGREB</v>
      </c>
      <c r="I2433" s="2"/>
      <c r="J2433" s="1"/>
      <c r="K2433" s="2"/>
    </row>
    <row r="2434" spans="1:11" ht="47.25" x14ac:dyDescent="0.25">
      <c r="A2434" s="1" t="str">
        <f>"2/2015"</f>
        <v>2/2015</v>
      </c>
      <c r="B2434" s="1" t="s">
        <v>14</v>
      </c>
      <c r="C2434" s="1" t="s">
        <v>1185</v>
      </c>
      <c r="D2434" s="1" t="str">
        <f>CONCATENATE("468-2014-EMV",CHAR(10),"2014/S 002-0043311 od 16.09.2014.")</f>
        <v>468-2014-EMV
2014/S 002-0043311 od 16.09.2014.</v>
      </c>
      <c r="E2434" s="1" t="s">
        <v>15</v>
      </c>
      <c r="F2434" s="1" t="str">
        <f>"689.337,90"</f>
        <v>689.337,90</v>
      </c>
      <c r="G2434" s="1" t="str">
        <f>CONCATENATE("31.12.2014.",CHAR(10),"90 dana od dana uvođenja u posao")</f>
        <v>31.12.2014.
90 dana od dana uvođenja u posao</v>
      </c>
      <c r="H2434" s="1" t="str">
        <f>CONCATENATE("FOTON PROMET D.O.O., SESVETE")</f>
        <v>FOTON PROMET D.O.O., SESVETE</v>
      </c>
      <c r="I2434" s="2"/>
      <c r="J2434" s="1"/>
      <c r="K2434" s="2"/>
    </row>
    <row r="2435" spans="1:11" ht="31.5" x14ac:dyDescent="0.25">
      <c r="A2435" s="1" t="str">
        <f>"A-2/2015"</f>
        <v>A-2/2015</v>
      </c>
      <c r="B2435" s="1" t="s">
        <v>11</v>
      </c>
      <c r="C2435" s="1" t="s">
        <v>1186</v>
      </c>
      <c r="D2435" s="1" t="str">
        <f>"1143-2013-EMV"</f>
        <v>1143-2013-EMV</v>
      </c>
      <c r="E2435" s="2"/>
      <c r="F2435" s="1" t="str">
        <f>"175.464,00"</f>
        <v>175.464,00</v>
      </c>
      <c r="G2435" s="1" t="str">
        <f>"02.01.2015."</f>
        <v>02.01.2015.</v>
      </c>
      <c r="H2435" s="1" t="str">
        <f>CONCATENATE("HEDOM D.O.O., ZAGREB")</f>
        <v>HEDOM D.O.O., ZAGREB</v>
      </c>
      <c r="I2435" s="2"/>
      <c r="J2435" s="1"/>
      <c r="K2435" s="2"/>
    </row>
    <row r="2436" spans="1:11" ht="47.25" x14ac:dyDescent="0.25">
      <c r="A2436" s="1" t="str">
        <f>"3/2015"</f>
        <v>3/2015</v>
      </c>
      <c r="B2436" s="1" t="s">
        <v>26</v>
      </c>
      <c r="C2436" s="1" t="s">
        <v>360</v>
      </c>
      <c r="D2436" s="1" t="str">
        <f>"Z-2014-1"</f>
        <v>Z-2014-1</v>
      </c>
      <c r="E2436" s="2"/>
      <c r="F2436" s="1" t="str">
        <f>"148.228,37"</f>
        <v>148.228,37</v>
      </c>
      <c r="G2436" s="1" t="str">
        <f>CONCATENATE("02.01.2015.",CHAR(10),"30.04.2015")</f>
        <v>02.01.2015.
30.04.2015</v>
      </c>
      <c r="H2436" s="1" t="str">
        <f>CONCATENATE("NARODNE NOVINE D.D., ZAGREB")</f>
        <v>NARODNE NOVINE D.D., ZAGREB</v>
      </c>
      <c r="I2436" s="2"/>
      <c r="J2436" s="1"/>
      <c r="K2436" s="1" t="s">
        <v>607</v>
      </c>
    </row>
    <row r="2437" spans="1:11" ht="47.25" x14ac:dyDescent="0.25">
      <c r="A2437" s="1" t="str">
        <f>"A-3/2015"</f>
        <v>A-3/2015</v>
      </c>
      <c r="B2437" s="1" t="s">
        <v>11</v>
      </c>
      <c r="C2437" s="1" t="s">
        <v>1187</v>
      </c>
      <c r="D2437" s="1" t="str">
        <f>"462-2014-EMV"</f>
        <v>462-2014-EMV</v>
      </c>
      <c r="E2437" s="2"/>
      <c r="F2437" s="1" t="str">
        <f>"0,00"</f>
        <v>0,00</v>
      </c>
      <c r="G2437" s="1" t="str">
        <f>"05.01.2015."</f>
        <v>05.01.2015.</v>
      </c>
      <c r="H2437" s="1" t="str">
        <f>CONCATENATE("BILIĆ-ERIĆ D.O.O., SESVETE")</f>
        <v>BILIĆ-ERIĆ D.O.O., SESVETE</v>
      </c>
      <c r="I2437" s="2"/>
      <c r="J2437" s="1"/>
      <c r="K2437" s="2"/>
    </row>
    <row r="2438" spans="1:11" ht="47.25" x14ac:dyDescent="0.25">
      <c r="A2438" s="1" t="str">
        <f>"A-4/2015"</f>
        <v>A-4/2015</v>
      </c>
      <c r="B2438" s="1" t="s">
        <v>11</v>
      </c>
      <c r="C2438" s="1" t="s">
        <v>1188</v>
      </c>
      <c r="D2438" s="1" t="str">
        <f>"462-2014-EMV"</f>
        <v>462-2014-EMV</v>
      </c>
      <c r="E2438" s="2"/>
      <c r="F2438" s="1" t="str">
        <f>"0,00"</f>
        <v>0,00</v>
      </c>
      <c r="G2438" s="1" t="str">
        <f>"05.01.2015."</f>
        <v>05.01.2015.</v>
      </c>
      <c r="H2438" s="1" t="str">
        <f>CONCATENATE("BILIĆ-ERIĆ D.O.O., SESVETE")</f>
        <v>BILIĆ-ERIĆ D.O.O., SESVETE</v>
      </c>
      <c r="I2438" s="2"/>
      <c r="J2438" s="1"/>
      <c r="K2438" s="2"/>
    </row>
    <row r="2439" spans="1:11" ht="47.25" x14ac:dyDescent="0.25">
      <c r="A2439" s="1" t="str">
        <f>"4/2015"</f>
        <v>4/2015</v>
      </c>
      <c r="B2439" s="1" t="s">
        <v>14</v>
      </c>
      <c r="C2439" s="1" t="s">
        <v>1189</v>
      </c>
      <c r="D2439" s="1" t="str">
        <f>CONCATENATE("2864-2014-EMV",CHAR(10),"2014-S 015-0056709 od 09.12.2014.")</f>
        <v>2864-2014-EMV
2014-S 015-0056709 od 09.12.2014.</v>
      </c>
      <c r="E2439" s="1" t="s">
        <v>12</v>
      </c>
      <c r="F2439" s="1" t="str">
        <f>"597.963,06"</f>
        <v>597.963,06</v>
      </c>
      <c r="G2439" s="1" t="str">
        <f>CONCATENATE("29.12.2014.",CHAR(10),"30 dana od dana uvođenja u posao")</f>
        <v>29.12.2014.
30 dana od dana uvođenja u posao</v>
      </c>
      <c r="H2439" s="1" t="str">
        <f>CONCATENATE("HEP-OPERATOR DISTRIBUCIJSKOG SUSTAVA D.O.O., ZAGREB")</f>
        <v>HEP-OPERATOR DISTRIBUCIJSKOG SUSTAVA D.O.O., ZAGREB</v>
      </c>
      <c r="I2439" s="2"/>
      <c r="J2439" s="1"/>
      <c r="K2439" s="2"/>
    </row>
    <row r="2440" spans="1:11" ht="47.25" x14ac:dyDescent="0.25">
      <c r="A2440" s="1" t="str">
        <f>"5/2015"</f>
        <v>5/2015</v>
      </c>
      <c r="B2440" s="1" t="s">
        <v>14</v>
      </c>
      <c r="C2440" s="1" t="s">
        <v>1190</v>
      </c>
      <c r="D2440" s="1" t="str">
        <f>CONCATENATE("1303-2014-EMV",CHAR(10),"2014-S 015-0056244 od 05.12.2014.")</f>
        <v>1303-2014-EMV
2014-S 015-0056244 od 05.12.2014.</v>
      </c>
      <c r="E2440" s="1" t="s">
        <v>12</v>
      </c>
      <c r="F2440" s="1" t="str">
        <f>"769.387,14"</f>
        <v>769.387,14</v>
      </c>
      <c r="G2440" s="1" t="str">
        <f>CONCATENATE("31.12.2014.",CHAR(10),"30.06.2015")</f>
        <v>31.12.2014.
30.06.2015</v>
      </c>
      <c r="H2440" s="1" t="str">
        <f>CONCATENATE("HEP-OPERATOR DISTRIBUCIJSKOG SUSTAVA D.O.O., ZAGREB")</f>
        <v>HEP-OPERATOR DISTRIBUCIJSKOG SUSTAVA D.O.O., ZAGREB</v>
      </c>
      <c r="I2440" s="2"/>
      <c r="J2440" s="1"/>
      <c r="K2440" s="2"/>
    </row>
    <row r="2441" spans="1:11" ht="47.25" x14ac:dyDescent="0.25">
      <c r="A2441" s="1" t="str">
        <f>"A-5/2015"</f>
        <v>A-5/2015</v>
      </c>
      <c r="B2441" s="1" t="s">
        <v>11</v>
      </c>
      <c r="C2441" s="1" t="s">
        <v>1191</v>
      </c>
      <c r="D2441" s="1" t="str">
        <f>"462-2014-EMV"</f>
        <v>462-2014-EMV</v>
      </c>
      <c r="E2441" s="2"/>
      <c r="F2441" s="1" t="str">
        <f>"0,00"</f>
        <v>0,00</v>
      </c>
      <c r="G2441" s="1" t="str">
        <f>"05.01.2015."</f>
        <v>05.01.2015.</v>
      </c>
      <c r="H2441" s="1" t="str">
        <f>CONCATENATE("BILIĆ-ERIĆ D.O.O., SESVETE")</f>
        <v>BILIĆ-ERIĆ D.O.O., SESVETE</v>
      </c>
      <c r="I2441" s="2"/>
      <c r="J2441" s="1"/>
      <c r="K2441" s="2"/>
    </row>
    <row r="2442" spans="1:11" ht="47.25" x14ac:dyDescent="0.25">
      <c r="A2442" s="1" t="str">
        <f>"6/2015"</f>
        <v>6/2015</v>
      </c>
      <c r="B2442" s="1" t="s">
        <v>26</v>
      </c>
      <c r="C2442" s="1" t="s">
        <v>1192</v>
      </c>
      <c r="D2442" s="1" t="str">
        <f>"2014-2253"</f>
        <v>2014-2253</v>
      </c>
      <c r="E2442" s="2"/>
      <c r="F2442" s="1" t="str">
        <f>"9.750,00"</f>
        <v>9.750,00</v>
      </c>
      <c r="G2442" s="1" t="str">
        <f>CONCATENATE("05.01.2015.",CHAR(10),"31.3.2015")</f>
        <v>05.01.2015.
31.3.2015</v>
      </c>
      <c r="H2442" s="1" t="str">
        <f>CONCATENATE("ADELA D.O.O., GOSPIĆ")</f>
        <v>ADELA D.O.O., GOSPIĆ</v>
      </c>
      <c r="I2442" s="1" t="s">
        <v>1193</v>
      </c>
      <c r="J2442" s="1" t="str">
        <f>SUBSTITUTE(SUBSTITUTE(SUBSTITUTE("12,187.50",".","-"),",","."),"-",",")</f>
        <v>12.187,50</v>
      </c>
      <c r="K2442" s="1" t="s">
        <v>607</v>
      </c>
    </row>
    <row r="2443" spans="1:11" ht="63" x14ac:dyDescent="0.25">
      <c r="A2443" s="1" t="str">
        <f>"8/2015"</f>
        <v>8/2015</v>
      </c>
      <c r="B2443" s="1" t="s">
        <v>26</v>
      </c>
      <c r="C2443" s="1" t="s">
        <v>1194</v>
      </c>
      <c r="D2443" s="1" t="str">
        <f>"12-2014-EMV"</f>
        <v>12-2014-EMV</v>
      </c>
      <c r="E2443" s="2"/>
      <c r="F2443" s="1" t="str">
        <f>"108.011,00"</f>
        <v>108.011,00</v>
      </c>
      <c r="G2443" s="1" t="str">
        <f>CONCATENATE("31.12.2014.",CHAR(10),"12 mjeseci")</f>
        <v>31.12.2014.
12 mjeseci</v>
      </c>
      <c r="H2443" s="1" t="str">
        <f>CONCATENATE("URIHO - USTANOVA ZA PROFESIONALNU REHABILITACIJU I ZAPOŠLJAVANJE OSOBA S INVALIDITETOM, ZAGREB")</f>
        <v>URIHO - USTANOVA ZA PROFESIONALNU REHABILITACIJU I ZAPOŠLJAVANJE OSOBA S INVALIDITETOM, ZAGREB</v>
      </c>
      <c r="I2443" s="2"/>
      <c r="J2443" s="1"/>
      <c r="K2443" s="2"/>
    </row>
    <row r="2444" spans="1:11" ht="63" x14ac:dyDescent="0.25">
      <c r="A2444" s="1" t="str">
        <f>"9/2015"</f>
        <v>9/2015</v>
      </c>
      <c r="B2444" s="1" t="s">
        <v>26</v>
      </c>
      <c r="C2444" s="1" t="s">
        <v>1194</v>
      </c>
      <c r="D2444" s="1" t="str">
        <f>"12-2014-EMV"</f>
        <v>12-2014-EMV</v>
      </c>
      <c r="E2444" s="2"/>
      <c r="F2444" s="1" t="str">
        <f>"548.145,00"</f>
        <v>548.145,00</v>
      </c>
      <c r="G2444" s="1" t="str">
        <f>CONCATENATE("31.12.2014.",CHAR(10),"12 mjeseci")</f>
        <v>31.12.2014.
12 mjeseci</v>
      </c>
      <c r="H2444" s="1" t="str">
        <f>CONCATENATE("URIHO - USTANOVA ZA PROFESIONALNU REHABILITACIJU I ZAPOŠLJAVANJE OSOBA S INVALIDITETOM, ZAGREB")</f>
        <v>URIHO - USTANOVA ZA PROFESIONALNU REHABILITACIJU I ZAPOŠLJAVANJE OSOBA S INVALIDITETOM, ZAGREB</v>
      </c>
      <c r="I2444" s="2"/>
      <c r="J2444" s="1"/>
      <c r="K2444" s="2"/>
    </row>
    <row r="2445" spans="1:11" ht="47.25" x14ac:dyDescent="0.25">
      <c r="A2445" s="1" t="str">
        <f>"10/2015"</f>
        <v>10/2015</v>
      </c>
      <c r="B2445" s="1" t="s">
        <v>136</v>
      </c>
      <c r="C2445" s="1" t="s">
        <v>2898</v>
      </c>
      <c r="D2445" s="1" t="str">
        <f>CONCATENATE("2014-2675",CHAR(10),"2014/S 002-0051237 od 07.11.2014.")</f>
        <v>2014-2675
2014/S 002-0051237 od 07.11.2014.</v>
      </c>
      <c r="E2445" s="1" t="s">
        <v>366</v>
      </c>
      <c r="F2445" s="1" t="str">
        <f>"932.172,50"</f>
        <v>932.172,50</v>
      </c>
      <c r="G2445" s="1" t="str">
        <f>CONCATENATE("31.12.2014.",CHAR(10),"2 godine")</f>
        <v>31.12.2014.
2 godine</v>
      </c>
      <c r="H2445" s="1" t="str">
        <f>CONCATENATE("PA-EL, VELIKO TRGOVIŠĆE")</f>
        <v>PA-EL, VELIKO TRGOVIŠĆE</v>
      </c>
      <c r="I2445" s="2"/>
      <c r="J2445" s="1"/>
      <c r="K2445" s="1" t="s">
        <v>607</v>
      </c>
    </row>
    <row r="2446" spans="1:11" ht="78.75" x14ac:dyDescent="0.25">
      <c r="A2446" s="1" t="str">
        <f>"12/2015"</f>
        <v>12/2015</v>
      </c>
      <c r="B2446" s="1" t="s">
        <v>136</v>
      </c>
      <c r="C2446" s="1" t="s">
        <v>1195</v>
      </c>
      <c r="D2446" s="1" t="str">
        <f>CONCATENATE("24-2014-EVV",CHAR(10),"2014/S-002-0032285 od 03.07.2014.")</f>
        <v>24-2014-EVV
2014/S-002-0032285 od 03.07.2014.</v>
      </c>
      <c r="E2446" s="1" t="s">
        <v>366</v>
      </c>
      <c r="F2446" s="1" t="str">
        <f>"2.726.831,00"</f>
        <v>2.726.831,00</v>
      </c>
      <c r="G2446" s="1" t="str">
        <f>CONCATENATE("09.01.2015.",CHAR(10),"2 godine")</f>
        <v>09.01.2015.
2 godine</v>
      </c>
      <c r="H2446" s="1" t="str">
        <f>CONCATENATE("EKO-DERATIZACIJA D.O.O., ZAGREB")</f>
        <v>EKO-DERATIZACIJA D.O.O., ZAGREB</v>
      </c>
      <c r="I2446" s="2"/>
      <c r="J2446" s="1"/>
      <c r="K2446" s="2"/>
    </row>
    <row r="2447" spans="1:11" ht="47.25" x14ac:dyDescent="0.25">
      <c r="A2447" s="1" t="str">
        <f>"13/2015"</f>
        <v>13/2015</v>
      </c>
      <c r="B2447" s="1" t="s">
        <v>26</v>
      </c>
      <c r="C2447" s="1" t="s">
        <v>1196</v>
      </c>
      <c r="D2447" s="1" t="str">
        <f>"2014-238"</f>
        <v>2014-238</v>
      </c>
      <c r="E2447" s="2"/>
      <c r="F2447" s="1" t="str">
        <f>"157.090,54"</f>
        <v>157.090,54</v>
      </c>
      <c r="G2447" s="1" t="str">
        <f>CONCATENATE("09.01.2015.",CHAR(10),"30.6.2015")</f>
        <v>09.01.2015.
30.6.2015</v>
      </c>
      <c r="H2447" s="1" t="str">
        <f>CONCATENATE("SMIT COMMERCE D.O.O., GORNJI STUPNIK")</f>
        <v>SMIT COMMERCE D.O.O., GORNJI STUPNIK</v>
      </c>
      <c r="I2447" s="2"/>
      <c r="J2447" s="1"/>
      <c r="K2447" s="1" t="s">
        <v>607</v>
      </c>
    </row>
    <row r="2448" spans="1:11" ht="47.25" x14ac:dyDescent="0.25">
      <c r="A2448" s="1" t="str">
        <f>"14/2015"</f>
        <v>14/2015</v>
      </c>
      <c r="B2448" s="1" t="s">
        <v>26</v>
      </c>
      <c r="C2448" s="1" t="s">
        <v>1197</v>
      </c>
      <c r="D2448" s="1" t="str">
        <f>"2014-160"</f>
        <v>2014-160</v>
      </c>
      <c r="E2448" s="2"/>
      <c r="F2448" s="1" t="str">
        <f>"229.505,00"</f>
        <v>229.505,00</v>
      </c>
      <c r="G2448" s="1" t="str">
        <f>CONCATENATE("09.01.2015.",CHAR(10),"30.11.2015")</f>
        <v>09.01.2015.
30.11.2015</v>
      </c>
      <c r="H2448" s="1" t="str">
        <f>CONCATENATE("C.I.A.K. D.O.O., ZAGREB")</f>
        <v>C.I.A.K. D.O.O., ZAGREB</v>
      </c>
      <c r="I2448" s="2"/>
      <c r="J2448" s="1"/>
      <c r="K2448" s="1" t="s">
        <v>607</v>
      </c>
    </row>
    <row r="2449" spans="1:11" ht="94.5" x14ac:dyDescent="0.25">
      <c r="A2449" s="1" t="str">
        <f>"15/2015"</f>
        <v>15/2015</v>
      </c>
      <c r="B2449" s="1" t="s">
        <v>136</v>
      </c>
      <c r="C2449" s="1" t="s">
        <v>1198</v>
      </c>
      <c r="D2449" s="1" t="str">
        <f>CONCATENATE("2340-2014-EVV",CHAR(10),"2014/S 002-0034042 od 11.07.2014.")</f>
        <v>2340-2014-EVV
2014/S 002-0034042 od 11.07.2014.</v>
      </c>
      <c r="E2449" s="1" t="s">
        <v>366</v>
      </c>
      <c r="F2449" s="1" t="str">
        <f>"7.834.934,40"</f>
        <v>7.834.934,40</v>
      </c>
      <c r="G2449" s="1" t="str">
        <f>CONCATENATE("09.01.2015.",CHAR(10),"4 godine")</f>
        <v>09.01.2015.
4 godine</v>
      </c>
      <c r="H2449" s="1" t="str">
        <f>CONCATENATE("1. Zajednica ponuditelja: ",CHAR(10),"    VINDIJA D.D., VARAŽDIN",CHAR(10),"    KOKA D.D., VARAŽDIN",CHAR(10),"    VINDON D.O.O., SLAVONSKI BROD")</f>
        <v>1. Zajednica ponuditelja: 
    VINDIJA D.D., VARAŽDIN
    KOKA D.D., VARAŽDIN
    VINDON D.O.O., SLAVONSKI BROD</v>
      </c>
      <c r="I2449" s="2"/>
      <c r="J2449" s="1"/>
      <c r="K2449" s="2"/>
    </row>
    <row r="2450" spans="1:11" ht="94.5" x14ac:dyDescent="0.25">
      <c r="A2450" s="1" t="str">
        <f>"16/2015"</f>
        <v>16/2015</v>
      </c>
      <c r="B2450" s="1" t="s">
        <v>136</v>
      </c>
      <c r="C2450" s="1" t="s">
        <v>1199</v>
      </c>
      <c r="D2450" s="1" t="str">
        <f>CONCATENATE("2340-2014-EVV",CHAR(10),"2014/S 002-0034042 od 11.07.2014.")</f>
        <v>2340-2014-EVV
2014/S 002-0034042 od 11.07.2014.</v>
      </c>
      <c r="E2450" s="1" t="s">
        <v>366</v>
      </c>
      <c r="F2450" s="1" t="str">
        <f>"7.134.594,80"</f>
        <v>7.134.594,80</v>
      </c>
      <c r="G2450" s="1" t="str">
        <f>CONCATENATE("09.01.2015.",CHAR(10),"4 godine")</f>
        <v>09.01.2015.
4 godine</v>
      </c>
      <c r="H2450" s="1" t="str">
        <f>CONCATENATE("1. Zajednica ponuditelja: ",CHAR(10),"    VINDIJA D.D., VARAŽDIN",CHAR(10),"    KOKA D.D., VARAŽDIN",CHAR(10),"    VINDON D.O.O., SLAVONSKI BROD",CHAR(10),"2. PIVKA D.O.O., JURDANI")</f>
        <v>1. Zajednica ponuditelja: 
    VINDIJA D.D., VARAŽDIN
    KOKA D.D., VARAŽDIN
    VINDON D.O.O., SLAVONSKI BROD
2. PIVKA D.O.O., JURDANI</v>
      </c>
      <c r="I2450" s="2"/>
      <c r="J2450" s="1"/>
      <c r="K2450" s="2"/>
    </row>
    <row r="2451" spans="1:11" ht="63" x14ac:dyDescent="0.25">
      <c r="A2451" s="1" t="str">
        <f>"A-6/2015"</f>
        <v>A-6/2015</v>
      </c>
      <c r="B2451" s="1" t="s">
        <v>11</v>
      </c>
      <c r="C2451" s="1" t="s">
        <v>1200</v>
      </c>
      <c r="D2451" s="1" t="str">
        <f>"1919-2013-EMV"</f>
        <v>1919-2013-EMV</v>
      </c>
      <c r="E2451" s="2"/>
      <c r="F2451" s="1" t="str">
        <f>"0,00"</f>
        <v>0,00</v>
      </c>
      <c r="G2451" s="1" t="str">
        <f>CONCATENATE("09.01.2015.",CHAR(10),"15.4.2015")</f>
        <v>09.01.2015.
15.4.2015</v>
      </c>
      <c r="H2451" s="1" t="str">
        <f>CONCATENATE("1. Zajednica ponuditelja: ",CHAR(10),"    KOPIMA D.O.O, ZAGREB",CHAR(10),"    AG PLANUM D.O.O., ZAGREB")</f>
        <v>1. Zajednica ponuditelja: 
    KOPIMA D.O.O, ZAGREB
    AG PLANUM D.O.O., ZAGREB</v>
      </c>
      <c r="I2451" s="2"/>
      <c r="J2451" s="1"/>
      <c r="K2451" s="2"/>
    </row>
    <row r="2452" spans="1:11" ht="47.25" x14ac:dyDescent="0.25">
      <c r="A2452" s="1" t="str">
        <f>"19/2015"</f>
        <v>19/2015</v>
      </c>
      <c r="B2452" s="1" t="s">
        <v>14</v>
      </c>
      <c r="C2452" s="1" t="s">
        <v>1201</v>
      </c>
      <c r="D2452" s="1" t="str">
        <f>CONCATENATE("2014-2683",CHAR(10),"2014/S 002-0047785 od 17.10.2014.")</f>
        <v>2014-2683
2014/S 002-0047785 od 17.10.2014.</v>
      </c>
      <c r="E2452" s="1" t="s">
        <v>15</v>
      </c>
      <c r="F2452" s="1" t="str">
        <f>"2.368.711,00"</f>
        <v>2.368.711,00</v>
      </c>
      <c r="G2452" s="1" t="str">
        <f>CONCATENATE("09.01.2015.",CHAR(10),"180 dana od dana uvođenja u posao")</f>
        <v>09.01.2015.
180 dana od dana uvođenja u posao</v>
      </c>
      <c r="H2452" s="1" t="str">
        <f>CONCATENATE("AMB GRADNJA D.O.O., ZAGREB")</f>
        <v>AMB GRADNJA D.O.O., ZAGREB</v>
      </c>
      <c r="I2452" s="2"/>
      <c r="J2452" s="1"/>
      <c r="K2452" s="1" t="s">
        <v>607</v>
      </c>
    </row>
    <row r="2453" spans="1:11" ht="47.25" x14ac:dyDescent="0.25">
      <c r="A2453" s="1" t="str">
        <f>"20/2015"</f>
        <v>20/2015</v>
      </c>
      <c r="B2453" s="1" t="s">
        <v>26</v>
      </c>
      <c r="C2453" s="1" t="s">
        <v>1202</v>
      </c>
      <c r="D2453" s="1" t="str">
        <f>"2014-2209"</f>
        <v>2014-2209</v>
      </c>
      <c r="E2453" s="2"/>
      <c r="F2453" s="1" t="str">
        <f>"254.992,50"</f>
        <v>254.992,50</v>
      </c>
      <c r="G2453" s="1" t="str">
        <f>CONCATENATE("12.01.2015.",CHAR(10),"31.3.2015")</f>
        <v>12.01.2015.
31.3.2015</v>
      </c>
      <c r="H2453" s="1" t="str">
        <f>CONCATENATE("C W G D.O.O., ZAGREB")</f>
        <v>C W G D.O.O., ZAGREB</v>
      </c>
      <c r="I2453" s="1" t="s">
        <v>1203</v>
      </c>
      <c r="J2453" s="1" t="str">
        <f>SUBSTITUTE(SUBSTITUTE(SUBSTITUTE("318,740.63",".","-"),",","."),"-",",")</f>
        <v>318.740,63</v>
      </c>
      <c r="K2453" s="1" t="s">
        <v>607</v>
      </c>
    </row>
    <row r="2454" spans="1:11" ht="47.25" x14ac:dyDescent="0.25">
      <c r="A2454" s="1" t="str">
        <f>"A-7/2015"</f>
        <v>A-7/2015</v>
      </c>
      <c r="B2454" s="1" t="s">
        <v>11</v>
      </c>
      <c r="C2454" s="1" t="s">
        <v>1204</v>
      </c>
      <c r="D2454" s="1" t="str">
        <f>"337-2013-EMV"</f>
        <v>337-2013-EMV</v>
      </c>
      <c r="E2454" s="2"/>
      <c r="F2454" s="1" t="str">
        <f>"0,00"</f>
        <v>0,00</v>
      </c>
      <c r="G2454" s="1" t="str">
        <f>"09.01.2015."</f>
        <v>09.01.2015.</v>
      </c>
      <c r="H2454" s="1" t="str">
        <f>CONCATENATE("MUZEJ GRADA ZAGREBA, ZAGREB")</f>
        <v>MUZEJ GRADA ZAGREBA, ZAGREB</v>
      </c>
      <c r="I2454" s="2"/>
      <c r="J2454" s="1"/>
      <c r="K2454" s="2"/>
    </row>
    <row r="2455" spans="1:11" ht="47.25" x14ac:dyDescent="0.25">
      <c r="A2455" s="1" t="str">
        <f>"21/2015"</f>
        <v>21/2015</v>
      </c>
      <c r="B2455" s="1" t="s">
        <v>136</v>
      </c>
      <c r="C2455" s="1" t="s">
        <v>1205</v>
      </c>
      <c r="D2455" s="1" t="str">
        <f>CONCATENATE("3148-2014-EVV",CHAR(10),"2014/S-002-0047402 od 16.10.2014.")</f>
        <v>3148-2014-EVV
2014/S-002-0047402 od 16.10.2014.</v>
      </c>
      <c r="E2455" s="1" t="s">
        <v>366</v>
      </c>
      <c r="F2455" s="1" t="str">
        <f>"2.708.464,80"</f>
        <v>2.708.464,80</v>
      </c>
      <c r="G2455" s="1" t="str">
        <f>CONCATENATE("13.01.2015.",CHAR(10),"2 godine")</f>
        <v>13.01.2015.
2 godine</v>
      </c>
      <c r="H2455" s="1" t="str">
        <f>CONCATENATE("ZAGREBAČKE PEKARNE KLARA D.D., ZAGREB")</f>
        <v>ZAGREBAČKE PEKARNE KLARA D.D., ZAGREB</v>
      </c>
      <c r="I2455" s="2"/>
      <c r="J2455" s="1"/>
      <c r="K2455" s="2"/>
    </row>
    <row r="2456" spans="1:11" ht="47.25" x14ac:dyDescent="0.25">
      <c r="A2456" s="1" t="str">
        <f>"26/2015"</f>
        <v>26/2015</v>
      </c>
      <c r="B2456" s="1" t="s">
        <v>14</v>
      </c>
      <c r="C2456" s="1" t="s">
        <v>1206</v>
      </c>
      <c r="D2456" s="1" t="str">
        <f>CONCATENATE("1340-2014-EMV",CHAR(10),"2014/S-002-0045743 od 02.10.2014.")</f>
        <v>1340-2014-EMV
2014/S-002-0045743 od 02.10.2014.</v>
      </c>
      <c r="E2456" s="1" t="s">
        <v>15</v>
      </c>
      <c r="F2456" s="1" t="str">
        <f>"1.020.293,25"</f>
        <v>1.020.293,25</v>
      </c>
      <c r="G2456" s="1" t="str">
        <f>CONCATENATE("16.01.2015.",CHAR(10),"2 mjeseca od dana uvođenja u posao")</f>
        <v>16.01.2015.
2 mjeseca od dana uvođenja u posao</v>
      </c>
      <c r="H2456" s="1" t="str">
        <f>CONCATENATE("P.G.P. D.O.O., ZAGREB")</f>
        <v>P.G.P. D.O.O., ZAGREB</v>
      </c>
      <c r="I2456" s="2"/>
      <c r="J2456" s="1"/>
      <c r="K2456" s="2"/>
    </row>
    <row r="2457" spans="1:11" ht="31.5" x14ac:dyDescent="0.25">
      <c r="A2457" s="1" t="str">
        <f>"27/2015"</f>
        <v>27/2015</v>
      </c>
      <c r="B2457" s="1" t="s">
        <v>26</v>
      </c>
      <c r="C2457" s="1" t="s">
        <v>1207</v>
      </c>
      <c r="D2457" s="1" t="str">
        <f>"191-2013-EMV"</f>
        <v>191-2013-EMV</v>
      </c>
      <c r="E2457" s="2"/>
      <c r="F2457" s="1" t="str">
        <f>"64.595,00"</f>
        <v>64.595,00</v>
      </c>
      <c r="G2457" s="1" t="str">
        <f>CONCATENATE("19.01.2015.",CHAR(10),"1 godina")</f>
        <v>19.01.2015.
1 godina</v>
      </c>
      <c r="H2457" s="1" t="str">
        <f>CONCATENATE("ZRIN D.O.O., ZAGREB")</f>
        <v>ZRIN D.O.O., ZAGREB</v>
      </c>
      <c r="I2457" s="2"/>
      <c r="J2457" s="1"/>
      <c r="K2457" s="2"/>
    </row>
    <row r="2458" spans="1:11" ht="47.25" x14ac:dyDescent="0.25">
      <c r="A2458" s="1" t="str">
        <f>"28/2015"</f>
        <v>28/2015</v>
      </c>
      <c r="B2458" s="1" t="s">
        <v>14</v>
      </c>
      <c r="C2458" s="1" t="s">
        <v>1208</v>
      </c>
      <c r="D2458" s="1" t="str">
        <f>CONCATENATE("352-2014-EVV",CHAR(10),"2014/S-002-0026215 od 27.05.2014.")</f>
        <v>352-2014-EVV
2014/S-002-0026215 od 27.05.2014.</v>
      </c>
      <c r="E2458" s="1" t="s">
        <v>15</v>
      </c>
      <c r="F2458" s="1" t="str">
        <f>"26.096.586,35"</f>
        <v>26.096.586,35</v>
      </c>
      <c r="G2458" s="1" t="str">
        <f>CONCATENATE("16.12.2014.",CHAR(10),"31.07.2019")</f>
        <v>16.12.2014.
31.07.2019</v>
      </c>
      <c r="H2458" s="1" t="str">
        <f>CONCATENATE("ZAGREBAČKA BANKA D.D., ZAGREB")</f>
        <v>ZAGREBAČKA BANKA D.D., ZAGREB</v>
      </c>
      <c r="I2458" s="2"/>
      <c r="J2458" s="1"/>
      <c r="K2458" s="2"/>
    </row>
    <row r="2459" spans="1:11" ht="47.25" x14ac:dyDescent="0.25">
      <c r="A2459" s="1" t="str">
        <f>"30/2015"</f>
        <v>30/2015</v>
      </c>
      <c r="B2459" s="1" t="s">
        <v>14</v>
      </c>
      <c r="C2459" s="1" t="s">
        <v>1209</v>
      </c>
      <c r="D2459" s="1" t="str">
        <f>CONCATENATE("2014-2644",CHAR(10),"2014/S 002-0044735 od 25.09.2014.")</f>
        <v>2014-2644
2014/S 002-0044735 od 25.09.2014.</v>
      </c>
      <c r="E2459" s="1" t="s">
        <v>15</v>
      </c>
      <c r="F2459" s="1" t="str">
        <f>"868.800,00"</f>
        <v>868.800,00</v>
      </c>
      <c r="G2459" s="1" t="str">
        <f>CONCATENATE("20.01.2015.",CHAR(10),"1 godina")</f>
        <v>20.01.2015.
1 godina</v>
      </c>
      <c r="H2459" s="1" t="str">
        <f>CONCATENATE("GRA-PO D.O.O., ZAGREB - STUPNIK")</f>
        <v>GRA-PO D.O.O., ZAGREB - STUPNIK</v>
      </c>
      <c r="I2459" s="2"/>
      <c r="J2459" s="1"/>
      <c r="K2459" s="1" t="s">
        <v>607</v>
      </c>
    </row>
    <row r="2460" spans="1:11" ht="78.75" x14ac:dyDescent="0.25">
      <c r="A2460" s="1" t="str">
        <f>"31/2015"</f>
        <v>31/2015</v>
      </c>
      <c r="B2460" s="1" t="s">
        <v>14</v>
      </c>
      <c r="C2460" s="1" t="s">
        <v>1210</v>
      </c>
      <c r="D2460" s="1" t="str">
        <f>CONCATENATE("2299-2014-EMV",CHAR(10),"2014/S 002-0046454 od 09.10 2014 i ispravak 2014/S 014-0048633 od 23.10.2014.")</f>
        <v>2299-2014-EMV
2014/S 002-0046454 od 09.10 2014 i ispravak 2014/S 014-0048633 od 23.10.2014.</v>
      </c>
      <c r="E2460" s="1" t="s">
        <v>15</v>
      </c>
      <c r="F2460" s="1" t="str">
        <f>"68.290,14"</f>
        <v>68.290,14</v>
      </c>
      <c r="G2460" s="1" t="str">
        <f>CONCATENATE("20.01.2015.",CHAR(10),"240 dana od dana obostranog potpsia Ugovora")</f>
        <v>20.01.2015.
240 dana od dana obostranog potpsia Ugovora</v>
      </c>
      <c r="H2460" s="1" t="str">
        <f>CONCATENATE("1. Zajednica ponuditelja: ",CHAR(10),"    HIDROEKO D.O.O., ZAGREB-BREZOVICA",CHAR(10),"    KAPROJEKT D.O.O., KARLOVAC")</f>
        <v>1. Zajednica ponuditelja: 
    HIDROEKO D.O.O., ZAGREB-BREZOVICA
    KAPROJEKT D.O.O., KARLOVAC</v>
      </c>
      <c r="I2460" s="2"/>
      <c r="J2460" s="1"/>
      <c r="K2460" s="2"/>
    </row>
    <row r="2461" spans="1:11" ht="141.75" x14ac:dyDescent="0.25">
      <c r="A2461" s="1" t="str">
        <f>"33/2015"</f>
        <v>33/2015</v>
      </c>
      <c r="B2461" s="1" t="s">
        <v>14</v>
      </c>
      <c r="C2461" s="1" t="s">
        <v>1211</v>
      </c>
      <c r="D2461" s="1" t="str">
        <f>CONCATENATE("3002-2014-EVV",CHAR(10),"2014/S 002-0042772 od 11.09.2014 ; ispravak 2014/S 014-0044151 od 22.09.2014; ispravak 2014/S 014-0047066 od 14.10.2014 i ispravak 2014//S014-0049131 od 24.10.2014.")</f>
        <v>3002-2014-EVV
2014/S 002-0042772 od 11.09.2014 ; ispravak 2014/S 014-0044151 od 22.09.2014; ispravak 2014/S 014-0047066 od 14.10.2014 i ispravak 2014//S014-0049131 od 24.10.2014.</v>
      </c>
      <c r="E2461" s="1" t="s">
        <v>15</v>
      </c>
      <c r="F2461" s="1" t="str">
        <f>"281.900,00"</f>
        <v>281.900,00</v>
      </c>
      <c r="G2461" s="1" t="str">
        <f>CONCATENATE("22.01.2015.",CHAR(10),"15 dana od dana obostranog potpisa Ugovora")</f>
        <v>22.01.2015.
15 dana od dana obostranog potpisa Ugovora</v>
      </c>
      <c r="H2461" s="1" t="str">
        <f>CONCATENATE("MEDIAL D.O.O., ZAGREB")</f>
        <v>MEDIAL D.O.O., ZAGREB</v>
      </c>
      <c r="I2461" s="1" t="s">
        <v>1212</v>
      </c>
      <c r="J2461" s="1" t="str">
        <f>SUBSTITUTE(SUBSTITUTE(SUBSTITUTE("352,375.00",".","-"),",","."),"-",",")</f>
        <v>352.375,00</v>
      </c>
      <c r="K2461" s="2"/>
    </row>
    <row r="2462" spans="1:11" ht="47.25" x14ac:dyDescent="0.25">
      <c r="A2462" s="1" t="str">
        <f>"34/2015"</f>
        <v>34/2015</v>
      </c>
      <c r="B2462" s="1" t="s">
        <v>14</v>
      </c>
      <c r="C2462" s="1" t="s">
        <v>1213</v>
      </c>
      <c r="D2462" s="1" t="str">
        <f>CONCATENATE("2814-2014-EMV",CHAR(10),"2014-S 002-0045767 od 02.10.2014.")</f>
        <v>2814-2014-EMV
2014-S 002-0045767 od 02.10.2014.</v>
      </c>
      <c r="E2462" s="1" t="s">
        <v>15</v>
      </c>
      <c r="F2462" s="1" t="str">
        <f>"1.517.007,00"</f>
        <v>1.517.007,00</v>
      </c>
      <c r="G2462" s="1" t="str">
        <f>CONCATENATE("20.01.2015.",CHAR(10),"90 dana od dana uvođenja u posao")</f>
        <v>20.01.2015.
90 dana od dana uvođenja u posao</v>
      </c>
      <c r="H2462" s="1" t="str">
        <f>CONCATENATE("O.K.I. MONT D.O.O., ZAGREB")</f>
        <v>O.K.I. MONT D.O.O., ZAGREB</v>
      </c>
      <c r="I2462" s="2"/>
      <c r="J2462" s="1"/>
      <c r="K2462" s="2"/>
    </row>
    <row r="2463" spans="1:11" ht="63" x14ac:dyDescent="0.25">
      <c r="A2463" s="1" t="str">
        <f>"35/2015"</f>
        <v>35/2015</v>
      </c>
      <c r="B2463" s="1" t="s">
        <v>136</v>
      </c>
      <c r="C2463" s="1" t="s">
        <v>1214</v>
      </c>
      <c r="D2463" s="1" t="str">
        <f>CONCATENATE("3149-2014-EVV",CHAR(10),"2014/S-002-0047617 od 17.10.2014.")</f>
        <v>3149-2014-EVV
2014/S-002-0047617 od 17.10.2014.</v>
      </c>
      <c r="E2463" s="1" t="s">
        <v>366</v>
      </c>
      <c r="F2463" s="1" t="str">
        <f>"4.996.595,00"</f>
        <v>4.996.595,00</v>
      </c>
      <c r="G2463" s="1" t="str">
        <f>CONCATENATE("22.01.2015.",CHAR(10),"2 godine")</f>
        <v>22.01.2015.
2 godine</v>
      </c>
      <c r="H2463" s="1" t="str">
        <f>CONCATENATE("1. Zajednica ponuditelja: ",CHAR(10),"    VINDIJA D.D., VARAŽDIN",CHAR(10),"    KOKA D.D., VARAŽDIN",CHAR(10),"    VINDON D.O.O., SLAVONSKI BROD")</f>
        <v>1. Zajednica ponuditelja: 
    VINDIJA D.D., VARAŽDIN
    KOKA D.D., VARAŽDIN
    VINDON D.O.O., SLAVONSKI BROD</v>
      </c>
      <c r="I2463" s="2"/>
      <c r="J2463" s="1"/>
      <c r="K2463" s="2"/>
    </row>
    <row r="2464" spans="1:11" ht="78.75" x14ac:dyDescent="0.25">
      <c r="A2464" s="1" t="str">
        <f>"36/2015"</f>
        <v>36/2015</v>
      </c>
      <c r="B2464" s="1" t="s">
        <v>136</v>
      </c>
      <c r="C2464" s="1" t="s">
        <v>1215</v>
      </c>
      <c r="D2464" s="1" t="str">
        <f>CONCATENATE("3150-2014-EVV",CHAR(10),"2014/S 002-0047537 od 16.10.2014 i ispravak 2014/S 014-0053026 od 18.11.2014.")</f>
        <v>3150-2014-EVV
2014/S 002-0047537 od 16.10.2014 i ispravak 2014/S 014-0053026 od 18.11.2014.</v>
      </c>
      <c r="E2464" s="1" t="s">
        <v>366</v>
      </c>
      <c r="F2464" s="1" t="str">
        <f>"8.016.703,00"</f>
        <v>8.016.703,00</v>
      </c>
      <c r="G2464" s="1" t="str">
        <f>CONCATENATE("22.01.2015.",CHAR(10),"2 godine")</f>
        <v>22.01.2015.
2 godine</v>
      </c>
      <c r="H2464" s="1" t="str">
        <f>CONCATENATE("VINDIJA D.D., VARAŽDIN")</f>
        <v>VINDIJA D.D., VARAŽDIN</v>
      </c>
      <c r="I2464" s="2"/>
      <c r="J2464" s="1"/>
      <c r="K2464" s="2"/>
    </row>
    <row r="2465" spans="1:11" ht="47.25" x14ac:dyDescent="0.25">
      <c r="A2465" s="1" t="str">
        <f>"37/2015"</f>
        <v>37/2015</v>
      </c>
      <c r="B2465" s="1" t="s">
        <v>136</v>
      </c>
      <c r="C2465" s="1" t="s">
        <v>1216</v>
      </c>
      <c r="D2465" s="1" t="str">
        <f>CONCATENATE("2014-2386",CHAR(10),"2014/S 002-0052011 od 12.11.2014.")</f>
        <v>2014-2386
2014/S 002-0052011 od 12.11.2014.</v>
      </c>
      <c r="E2465" s="1" t="s">
        <v>366</v>
      </c>
      <c r="F2465" s="1" t="str">
        <f>"834.134,00"</f>
        <v>834.134,00</v>
      </c>
      <c r="G2465" s="1" t="str">
        <f>CONCATENATE("27.01.2015.",CHAR(10),"2 godine")</f>
        <v>27.01.2015.
2 godine</v>
      </c>
      <c r="H2465" s="1" t="str">
        <f>CONCATENATE("DETA PRUT D.O.O., ZAGREB")</f>
        <v>DETA PRUT D.O.O., ZAGREB</v>
      </c>
      <c r="I2465" s="2"/>
      <c r="J2465" s="1"/>
      <c r="K2465" s="1" t="s">
        <v>607</v>
      </c>
    </row>
    <row r="2466" spans="1:11" ht="47.25" x14ac:dyDescent="0.25">
      <c r="A2466" s="1" t="str">
        <f>"38/2015"</f>
        <v>38/2015</v>
      </c>
      <c r="B2466" s="1" t="s">
        <v>26</v>
      </c>
      <c r="C2466" s="1" t="s">
        <v>1217</v>
      </c>
      <c r="D2466" s="1" t="str">
        <f>"2014-621"</f>
        <v>2014-621</v>
      </c>
      <c r="E2466" s="2"/>
      <c r="F2466" s="1" t="str">
        <f>"4.464.760,00"</f>
        <v>4.464.760,00</v>
      </c>
      <c r="G2466" s="1" t="str">
        <f>CONCATENATE("27.01.2015.",CHAR(10),"do 31.3.2015")</f>
        <v>27.01.2015.
do 31.3.2015</v>
      </c>
      <c r="H2466" s="1" t="str">
        <f>CONCATENATE("IKOM D.O.O., ZAGREB-SUSEDGRAD")</f>
        <v>IKOM D.O.O., ZAGREB-SUSEDGRAD</v>
      </c>
      <c r="I2466" s="1" t="s">
        <v>1218</v>
      </c>
      <c r="J2466" s="1" t="str">
        <f>SUBSTITUTE(SUBSTITUTE(SUBSTITUTE("5,580,950.00",".","-"),",","."),"-",",")</f>
        <v>5.580.950,00</v>
      </c>
      <c r="K2466" s="1" t="s">
        <v>607</v>
      </c>
    </row>
    <row r="2467" spans="1:11" ht="78.75" x14ac:dyDescent="0.25">
      <c r="A2467" s="1" t="str">
        <f>"39/2015"</f>
        <v>39/2015</v>
      </c>
      <c r="B2467" s="1" t="s">
        <v>14</v>
      </c>
      <c r="C2467" s="1" t="s">
        <v>1219</v>
      </c>
      <c r="D2467" s="1" t="str">
        <f>CONCATENATE("3073-2014-EMV",CHAR(10),"2014/S 002-0046955 od13.10.2014 i ispravak 2014/S 014-0049963 od 30.10.2014.")</f>
        <v>3073-2014-EMV
2014/S 002-0046955 od13.10.2014 i ispravak 2014/S 014-0049963 od 30.10.2014.</v>
      </c>
      <c r="E2467" s="1" t="s">
        <v>15</v>
      </c>
      <c r="F2467" s="1" t="str">
        <f>"243.000,00"</f>
        <v>243.000,00</v>
      </c>
      <c r="G2467" s="1" t="str">
        <f>CONCATENATE("27.01.2015.",CHAR(10),"30 dana od dana obostranog potpisa Ugovora")</f>
        <v>27.01.2015.
30 dana od dana obostranog potpisa Ugovora</v>
      </c>
      <c r="H2467" s="1" t="str">
        <f>CONCATENATE("BECKMAN COULTER D.O.O., ZAGREB")</f>
        <v>BECKMAN COULTER D.O.O., ZAGREB</v>
      </c>
      <c r="I2467" s="1" t="s">
        <v>1161</v>
      </c>
      <c r="J2467" s="1" t="str">
        <f>SUBSTITUTE(SUBSTITUTE(SUBSTITUTE("303,750.00",".","-"),",","."),"-",",")</f>
        <v>303.750,00</v>
      </c>
      <c r="K2467" s="2"/>
    </row>
    <row r="2468" spans="1:11" ht="47.25" x14ac:dyDescent="0.25">
      <c r="A2468" s="1" t="str">
        <f>"41/2015"</f>
        <v>41/2015</v>
      </c>
      <c r="B2468" s="1" t="s">
        <v>14</v>
      </c>
      <c r="C2468" s="1" t="s">
        <v>1220</v>
      </c>
      <c r="D2468" s="1" t="str">
        <f>CONCATENATE("3069-2014-EMV",CHAR(10),"2014/S 002-0045732 od 02.10.2014.")</f>
        <v>3069-2014-EMV
2014/S 002-0045732 od 02.10.2014.</v>
      </c>
      <c r="E2468" s="1" t="s">
        <v>15</v>
      </c>
      <c r="F2468" s="1" t="str">
        <f>"348.800,00"</f>
        <v>348.800,00</v>
      </c>
      <c r="G2468" s="1" t="str">
        <f>CONCATENATE("27.01.2015.",CHAR(10),"12 mjeseci od dana obostranog potpisa Ugovora")</f>
        <v>27.01.2015.
12 mjeseci od dana obostranog potpisa Ugovora</v>
      </c>
      <c r="H2468" s="1" t="str">
        <f>CONCATENATE("MEDI-LAB D.O.O., ZAGREB")</f>
        <v>MEDI-LAB D.O.O., ZAGREB</v>
      </c>
      <c r="I2468" s="2"/>
      <c r="J2468" s="1"/>
      <c r="K2468" s="2"/>
    </row>
    <row r="2469" spans="1:11" ht="78.75" x14ac:dyDescent="0.25">
      <c r="A2469" s="1" t="str">
        <f>"42/2015"</f>
        <v>42/2015</v>
      </c>
      <c r="B2469" s="1" t="s">
        <v>14</v>
      </c>
      <c r="C2469" s="1" t="s">
        <v>1221</v>
      </c>
      <c r="D2469" s="1" t="str">
        <f>CONCATENATE("3072-2014-EMV",CHAR(10),"2014/S 002-0046481 od 90.10-2014 i ispravak 2014/S 014-0048921 od 23.10.0201.")</f>
        <v>3072-2014-EMV
2014/S 002-0046481 od 90.10-2014 i ispravak 2014/S 014-0048921 od 23.10.0201.</v>
      </c>
      <c r="E2469" s="1" t="s">
        <v>15</v>
      </c>
      <c r="F2469" s="1" t="str">
        <f>"445.000,00"</f>
        <v>445.000,00</v>
      </c>
      <c r="G2469" s="1" t="str">
        <f>CONCATENATE("27.01.2015.",CHAR(10),"60 dana od dana obostranog potpisa Ugovora")</f>
        <v>27.01.2015.
60 dana od dana obostranog potpisa Ugovora</v>
      </c>
      <c r="H2469" s="1" t="str">
        <f>CONCATENATE("SHIMADZU D.O.O., ZAGREB")</f>
        <v>SHIMADZU D.O.O., ZAGREB</v>
      </c>
      <c r="I2469" s="1" t="s">
        <v>1222</v>
      </c>
      <c r="J2469" s="1" t="str">
        <f>SUBSTITUTE(SUBSTITUTE(SUBSTITUTE("556,250.00",".","-"),",","."),"-",",")</f>
        <v>556.250,00</v>
      </c>
      <c r="K2469" s="2"/>
    </row>
    <row r="2470" spans="1:11" ht="141.75" x14ac:dyDescent="0.25">
      <c r="A2470" s="1" t="str">
        <f>"A-8/2015"</f>
        <v>A-8/2015</v>
      </c>
      <c r="B2470" s="1" t="s">
        <v>11</v>
      </c>
      <c r="C2470" s="1" t="s">
        <v>1223</v>
      </c>
      <c r="D2470" s="1" t="str">
        <f>"2240-2013-EMV"</f>
        <v>2240-2013-EMV</v>
      </c>
      <c r="E2470" s="2"/>
      <c r="F2470" s="1" t="str">
        <f>"0,00"</f>
        <v>0,00</v>
      </c>
      <c r="G2470" s="1" t="str">
        <f>CONCATENATE("02.01.2015.",CHAR(10),"do sklapanja novog Ugovora")</f>
        <v>02.01.2015.
do sklapanja novog Ugovora</v>
      </c>
      <c r="H2470" s="1" t="str">
        <f>CONCATENATE("IVNE GRAĐEVINA D.O.O., ZAGREB")</f>
        <v>IVNE GRAĐEVINA D.O.O., ZAGREB</v>
      </c>
      <c r="I2470" s="2"/>
      <c r="J2470" s="1"/>
      <c r="K2470" s="2"/>
    </row>
    <row r="2471" spans="1:11" ht="47.25" x14ac:dyDescent="0.25">
      <c r="A2471" s="1" t="str">
        <f>"44/2015"</f>
        <v>44/2015</v>
      </c>
      <c r="B2471" s="1" t="s">
        <v>136</v>
      </c>
      <c r="C2471" s="1" t="s">
        <v>1224</v>
      </c>
      <c r="D2471" s="1" t="str">
        <f>CONCATENATE("Z-2014-9",CHAR(10),"2014/S-002-0029376 od 12.06.2014.")</f>
        <v>Z-2014-9
2014/S-002-0029376 od 12.06.2014.</v>
      </c>
      <c r="E2471" s="1" t="s">
        <v>366</v>
      </c>
      <c r="F2471" s="1" t="str">
        <f>"393.632,00"</f>
        <v>393.632,00</v>
      </c>
      <c r="G2471" s="1" t="str">
        <f>CONCATENATE("29.01.2015.",CHAR(10),"2 godine")</f>
        <v>29.01.2015.
2 godine</v>
      </c>
      <c r="H2471" s="1" t="str">
        <f>CONCATENATE("HP-HRVATSKA POŠTA D.D., ZAGREB")</f>
        <v>HP-HRVATSKA POŠTA D.D., ZAGREB</v>
      </c>
      <c r="I2471" s="2"/>
      <c r="J2471" s="1"/>
      <c r="K2471" s="1" t="s">
        <v>607</v>
      </c>
    </row>
    <row r="2472" spans="1:11" ht="126" x14ac:dyDescent="0.25">
      <c r="A2472" s="1" t="str">
        <f>"45/2015"</f>
        <v>45/2015</v>
      </c>
      <c r="B2472" s="1" t="s">
        <v>136</v>
      </c>
      <c r="C2472" s="1" t="s">
        <v>1225</v>
      </c>
      <c r="D2472" s="1" t="str">
        <f>CONCATENATE("Z-2014-9",CHAR(10),"2014/S-002-0029376 od 12.06.2014.")</f>
        <v>Z-2014-9
2014/S-002-0029376 od 12.06.2014.</v>
      </c>
      <c r="E2472" s="1" t="s">
        <v>366</v>
      </c>
      <c r="F2472" s="1" t="str">
        <f>"754.204,40"</f>
        <v>754.204,40</v>
      </c>
      <c r="G2472" s="1" t="str">
        <f>CONCATENATE("29.01.2015.",CHAR(10),"2 godine")</f>
        <v>29.01.2015.
2 godine</v>
      </c>
      <c r="H2472" s="1" t="str">
        <f>CONCATENATE("HP-HRVATSKA POŠTA D.D., ZAGREB")</f>
        <v>HP-HRVATSKA POŠTA D.D., ZAGREB</v>
      </c>
      <c r="I2472" s="2"/>
      <c r="J2472" s="1"/>
      <c r="K2472" s="1" t="s">
        <v>607</v>
      </c>
    </row>
    <row r="2473" spans="1:11" ht="94.5" x14ac:dyDescent="0.25">
      <c r="A2473" s="1" t="str">
        <f>"47/2015"</f>
        <v>47/2015</v>
      </c>
      <c r="B2473" s="1" t="s">
        <v>14</v>
      </c>
      <c r="C2473" s="1" t="s">
        <v>1226</v>
      </c>
      <c r="D2473" s="1" t="str">
        <f>CONCATENATE("3002-2014-EVV",CHAR(10),"2014/S 002-0042772 od 11.09.2014.")</f>
        <v>3002-2014-EVV
2014/S 002-0042772 od 11.09.2014.</v>
      </c>
      <c r="E2473" s="1" t="s">
        <v>15</v>
      </c>
      <c r="F2473" s="1" t="str">
        <f>"943.809,00"</f>
        <v>943.809,00</v>
      </c>
      <c r="G2473" s="1" t="str">
        <f>CONCATENATE("28.01.2015.",CHAR(10),"15 dana od dana potpisa Ugovora")</f>
        <v>28.01.2015.
15 dana od dana potpisa Ugovora</v>
      </c>
      <c r="H2473" s="1" t="str">
        <f>CONCATENATE("MIDES ZAGREB D.O.O., ZAGREB")</f>
        <v>MIDES ZAGREB D.O.O., ZAGREB</v>
      </c>
      <c r="I2473" s="1" t="s">
        <v>499</v>
      </c>
      <c r="J2473" s="1" t="str">
        <f>SUBSTITUTE(SUBSTITUTE(SUBSTITUTE("1,179,761.25",".","-"),",","."),"-",",")</f>
        <v>1.179.761,25</v>
      </c>
      <c r="K2473" s="2"/>
    </row>
    <row r="2474" spans="1:11" ht="94.5" x14ac:dyDescent="0.25">
      <c r="A2474" s="1" t="str">
        <f>"48/2015"</f>
        <v>48/2015</v>
      </c>
      <c r="B2474" s="1" t="s">
        <v>136</v>
      </c>
      <c r="C2474" s="1" t="s">
        <v>1227</v>
      </c>
      <c r="D2474" s="1" t="str">
        <f>CONCATENATE("2014-2629",CHAR(10),"2014/S 002-0047669 od 17.10.2014.")</f>
        <v>2014-2629
2014/S 002-0047669 od 17.10.2014.</v>
      </c>
      <c r="E2474" s="1" t="s">
        <v>366</v>
      </c>
      <c r="F2474" s="1" t="str">
        <f>"216.945,00"</f>
        <v>216.945,00</v>
      </c>
      <c r="G2474" s="1" t="str">
        <f>CONCATENATE("30.01.2015.",CHAR(10),"2 godine")</f>
        <v>30.01.2015.
2 godine</v>
      </c>
      <c r="H2474" s="1" t="str">
        <f>CONCATENATE("ELCON D.O.O., VARAŽDIN",CHAR(10),"PRIMAT -  RD D.O.O., HRVATSKI LESKOVAC",CHAR(10),"OBRT ZA PROIZVODNJU I POSTAVLJANJE ROLETA RO-LO, ZAGREB")</f>
        <v>ELCON D.O.O., VARAŽDIN
PRIMAT -  RD D.O.O., HRVATSKI LESKOVAC
OBRT ZA PROIZVODNJU I POSTAVLJANJE ROLETA RO-LO, ZAGREB</v>
      </c>
      <c r="I2474" s="2"/>
      <c r="J2474" s="1"/>
      <c r="K2474" s="1" t="s">
        <v>607</v>
      </c>
    </row>
    <row r="2475" spans="1:11" ht="47.25" x14ac:dyDescent="0.25">
      <c r="A2475" s="1" t="str">
        <f>"49/2015"</f>
        <v>49/2015</v>
      </c>
      <c r="B2475" s="1" t="s">
        <v>14</v>
      </c>
      <c r="C2475" s="1" t="s">
        <v>1228</v>
      </c>
      <c r="D2475" s="1" t="str">
        <f>CONCATENATE("465-2014-EMV",CHAR(10),"2014/S-002-0045813 od 02.10.2014.")</f>
        <v>465-2014-EMV
2014/S-002-0045813 od 02.10.2014.</v>
      </c>
      <c r="E2475" s="1" t="s">
        <v>15</v>
      </c>
      <c r="F2475" s="1" t="str">
        <f>"794.446,00"</f>
        <v>794.446,00</v>
      </c>
      <c r="G2475" s="1" t="str">
        <f>CONCATENATE("30.01.2015.",CHAR(10),"90 dana od dana uvođenja u posao")</f>
        <v>30.01.2015.
90 dana od dana uvođenja u posao</v>
      </c>
      <c r="H2475" s="1" t="str">
        <f>CONCATENATE("FOTON PROMET D.O.O., SESVETE")</f>
        <v>FOTON PROMET D.O.O., SESVETE</v>
      </c>
      <c r="I2475" s="2"/>
      <c r="J2475" s="1"/>
      <c r="K2475" s="2"/>
    </row>
    <row r="2476" spans="1:11" ht="47.25" x14ac:dyDescent="0.25">
      <c r="A2476" s="1" t="str">
        <f>"50/2015"</f>
        <v>50/2015</v>
      </c>
      <c r="B2476" s="1" t="s">
        <v>14</v>
      </c>
      <c r="C2476" s="1" t="s">
        <v>1229</v>
      </c>
      <c r="D2476" s="1" t="str">
        <f>CONCATENATE("470-2014-EMV",CHAR(10),"2014/S 002-0038998 od 13.08.2014.")</f>
        <v>470-2014-EMV
2014/S 002-0038998 od 13.08.2014.</v>
      </c>
      <c r="E2476" s="1" t="s">
        <v>15</v>
      </c>
      <c r="F2476" s="1" t="str">
        <f>"955.599,00"</f>
        <v>955.599,00</v>
      </c>
      <c r="G2476" s="1" t="str">
        <f>CONCATENATE("30.01.2015.",CHAR(10),"60 dana od dana uvođenja u posao")</f>
        <v>30.01.2015.
60 dana od dana uvođenja u posao</v>
      </c>
      <c r="H2476" s="1" t="str">
        <f>CONCATENATE("GEORAD D.O.O., ZAGREB")</f>
        <v>GEORAD D.O.O., ZAGREB</v>
      </c>
      <c r="I2476" s="2"/>
      <c r="J2476" s="1"/>
      <c r="K2476" s="2"/>
    </row>
    <row r="2477" spans="1:11" ht="47.25" x14ac:dyDescent="0.25">
      <c r="A2477" s="1" t="str">
        <f>"51/2015"</f>
        <v>51/2015</v>
      </c>
      <c r="B2477" s="1" t="s">
        <v>14</v>
      </c>
      <c r="C2477" s="1" t="s">
        <v>1230</v>
      </c>
      <c r="D2477" s="1" t="str">
        <f>CONCATENATE("464-2014-EMV",CHAR(10),"2014/S 002-0026538 od 28.05.2014.")</f>
        <v>464-2014-EMV
2014/S 002-0026538 od 28.05.2014.</v>
      </c>
      <c r="E2477" s="1" t="s">
        <v>15</v>
      </c>
      <c r="F2477" s="1" t="str">
        <f>"813.433,00"</f>
        <v>813.433,00</v>
      </c>
      <c r="G2477" s="1" t="str">
        <f>CONCATENATE("30.01.2015.",CHAR(10),"90 dana od dana uvođenja u posao")</f>
        <v>30.01.2015.
90 dana od dana uvođenja u posao</v>
      </c>
      <c r="H2477" s="1" t="str">
        <f>CONCATENATE("HM-PATRIA D.O.O., ZAGREB")</f>
        <v>HM-PATRIA D.O.O., ZAGREB</v>
      </c>
      <c r="I2477" s="2"/>
      <c r="J2477" s="1"/>
      <c r="K2477" s="2"/>
    </row>
    <row r="2478" spans="1:11" ht="47.25" x14ac:dyDescent="0.25">
      <c r="A2478" s="1" t="str">
        <f>"52/2015"</f>
        <v>52/2015</v>
      </c>
      <c r="B2478" s="1" t="s">
        <v>14</v>
      </c>
      <c r="C2478" s="1" t="s">
        <v>1231</v>
      </c>
      <c r="D2478" s="1" t="str">
        <f>CONCATENATE("1462-2014-EMV",CHAR(10),"2014/S 002-0047017 od 14.10.2014.")</f>
        <v>1462-2014-EMV
2014/S 002-0047017 od 14.10.2014.</v>
      </c>
      <c r="E2478" s="1" t="s">
        <v>15</v>
      </c>
      <c r="F2478" s="1" t="str">
        <f>"58.410,00"</f>
        <v>58.410,00</v>
      </c>
      <c r="G2478" s="1" t="str">
        <f>CONCATENATE("02.02.2015.",CHAR(10),"60 dana od dana obostranog potpisa Ugovora")</f>
        <v>02.02.2015.
60 dana od dana obostranog potpisa Ugovora</v>
      </c>
      <c r="H2478" s="1" t="str">
        <f>CONCATENATE("HRT-ŠARIĆ D.O.O., DUGO SELO")</f>
        <v>HRT-ŠARIĆ D.O.O., DUGO SELO</v>
      </c>
      <c r="I2478" s="1" t="s">
        <v>958</v>
      </c>
      <c r="J2478" s="1" t="str">
        <f>SUBSTITUTE(SUBSTITUTE(SUBSTITUTE("73,012.50",".","-"),",","."),"-",",")</f>
        <v>73.012,50</v>
      </c>
      <c r="K2478" s="2"/>
    </row>
    <row r="2479" spans="1:11" ht="47.25" x14ac:dyDescent="0.25">
      <c r="A2479" s="1" t="str">
        <f>"53/2015"</f>
        <v>53/2015</v>
      </c>
      <c r="B2479" s="1" t="s">
        <v>26</v>
      </c>
      <c r="C2479" s="1" t="s">
        <v>1232</v>
      </c>
      <c r="D2479" s="1" t="str">
        <f>"2014-2458"</f>
        <v>2014-2458</v>
      </c>
      <c r="E2479" s="2"/>
      <c r="F2479" s="1" t="str">
        <f>"744.640,00"</f>
        <v>744.640,00</v>
      </c>
      <c r="G2479" s="1" t="str">
        <f>CONCATENATE("02.02.2015.",CHAR(10),"31.03.2015")</f>
        <v>02.02.2015.
31.03.2015</v>
      </c>
      <c r="H2479" s="1" t="str">
        <f>CONCATENATE("USLUGA D.O.O., PAKRAC")</f>
        <v>USLUGA D.O.O., PAKRAC</v>
      </c>
      <c r="I2479" s="1" t="s">
        <v>1107</v>
      </c>
      <c r="J2479" s="1" t="str">
        <f>SUBSTITUTE(SUBSTITUTE(SUBSTITUTE("636,100.00",".","-"),",","."),"-",",")</f>
        <v>636.100,00</v>
      </c>
      <c r="K2479" s="1" t="s">
        <v>607</v>
      </c>
    </row>
    <row r="2480" spans="1:11" ht="47.25" x14ac:dyDescent="0.25">
      <c r="A2480" s="1" t="str">
        <f>"54/2015"</f>
        <v>54/2015</v>
      </c>
      <c r="B2480" s="1" t="s">
        <v>14</v>
      </c>
      <c r="C2480" s="1" t="s">
        <v>1233</v>
      </c>
      <c r="D2480" s="1" t="str">
        <f>CONCATENATE("2347-2014-EMV",CHAR(10),"2014/S 002-0045800 od 02.10.2014.")</f>
        <v>2347-2014-EMV
2014/S 002-0045800 od 02.10.2014.</v>
      </c>
      <c r="E2480" s="1" t="s">
        <v>15</v>
      </c>
      <c r="F2480" s="1" t="str">
        <f>"795.000,00"</f>
        <v>795.000,00</v>
      </c>
      <c r="G2480" s="1" t="str">
        <f>CONCATENATE("02.02.2015.",CHAR(10),"3 mjeseca od dana obostranog potpisa Ugovora")</f>
        <v>02.02.2015.
3 mjeseca od dana obostranog potpisa Ugovora</v>
      </c>
      <c r="H2480" s="1" t="str">
        <f>CONCATENATE("1. Zajednica ponuditelja: ",CHAR(10),"    CIB COMMERCE D.O.O., BUZET",CHAR(10),"    PROAUTO D.O.O., ZAGREB")</f>
        <v>1. Zajednica ponuditelja: 
    CIB COMMERCE D.O.O., BUZET
    PROAUTO D.O.O., ZAGREB</v>
      </c>
      <c r="I2480" s="2"/>
      <c r="J2480" s="1"/>
      <c r="K2480" s="2"/>
    </row>
    <row r="2481" spans="1:11" ht="47.25" x14ac:dyDescent="0.25">
      <c r="A2481" s="1" t="str">
        <f>"55/2015"</f>
        <v>55/2015</v>
      </c>
      <c r="B2481" s="1" t="s">
        <v>26</v>
      </c>
      <c r="C2481" s="1" t="s">
        <v>360</v>
      </c>
      <c r="D2481" s="1" t="str">
        <f>"Z-2014-1"</f>
        <v>Z-2014-1</v>
      </c>
      <c r="E2481" s="2"/>
      <c r="F2481" s="1" t="str">
        <f>"99.223,27"</f>
        <v>99.223,27</v>
      </c>
      <c r="G2481" s="1" t="str">
        <f>CONCATENATE("02.02.2015.",CHAR(10),"31.03.2015")</f>
        <v>02.02.2015.
31.03.2015</v>
      </c>
      <c r="H2481" s="1" t="str">
        <f>CONCATENATE("NARODNE NOVINE D.D., ZAGREB")</f>
        <v>NARODNE NOVINE D.D., ZAGREB</v>
      </c>
      <c r="I2481" s="1" t="s">
        <v>1193</v>
      </c>
      <c r="J2481" s="1" t="str">
        <f>SUBSTITUTE(SUBSTITUTE(SUBSTITUTE("66,330.28",".","-"),",","."),"-",",")</f>
        <v>66.330,28</v>
      </c>
      <c r="K2481" s="1" t="s">
        <v>607</v>
      </c>
    </row>
    <row r="2482" spans="1:11" ht="47.25" x14ac:dyDescent="0.25">
      <c r="A2482" s="1" t="str">
        <f>"57/2015"</f>
        <v>57/2015</v>
      </c>
      <c r="B2482" s="1" t="s">
        <v>26</v>
      </c>
      <c r="C2482" s="1" t="s">
        <v>1234</v>
      </c>
      <c r="D2482" s="1" t="str">
        <f>"196-2013-EMV"</f>
        <v>196-2013-EMV</v>
      </c>
      <c r="E2482" s="2"/>
      <c r="F2482" s="1" t="str">
        <f>"73.057,00"</f>
        <v>73.057,00</v>
      </c>
      <c r="G2482" s="1" t="str">
        <f>CONCATENATE("15.01.2015.",CHAR(10),"1 godina")</f>
        <v>15.01.2015.
1 godina</v>
      </c>
      <c r="H2482" s="1" t="str">
        <f>CONCATENATE("OBRT ZA PROIZVODNJU I POSTAVLJANJE ROLETA RO-LO, ZAGREB")</f>
        <v>OBRT ZA PROIZVODNJU I POSTAVLJANJE ROLETA RO-LO, ZAGREB</v>
      </c>
      <c r="I2482" s="2"/>
      <c r="J2482" s="1"/>
      <c r="K2482" s="2"/>
    </row>
    <row r="2483" spans="1:11" ht="47.25" x14ac:dyDescent="0.25">
      <c r="A2483" s="1" t="str">
        <f>"A-9/2015"</f>
        <v>A-9/2015</v>
      </c>
      <c r="B2483" s="1" t="s">
        <v>11</v>
      </c>
      <c r="C2483" s="1" t="s">
        <v>1235</v>
      </c>
      <c r="D2483" s="1" t="str">
        <f>"2014-1569"</f>
        <v>2014-1569</v>
      </c>
      <c r="E2483" s="2"/>
      <c r="F2483" s="1" t="str">
        <f>"0,00"</f>
        <v>0,00</v>
      </c>
      <c r="G2483" s="1" t="str">
        <f>"03.02.2015."</f>
        <v>03.02.2015.</v>
      </c>
      <c r="H2483" s="1" t="str">
        <f>CONCATENATE("ELECTUS DGS D.O.O., ZAGREB")</f>
        <v>ELECTUS DGS D.O.O., ZAGREB</v>
      </c>
      <c r="I2483" s="2"/>
      <c r="J2483" s="1"/>
      <c r="K2483" s="1" t="s">
        <v>607</v>
      </c>
    </row>
    <row r="2484" spans="1:11" ht="47.25" x14ac:dyDescent="0.25">
      <c r="A2484" s="1" t="str">
        <f>"58/2015"</f>
        <v>58/2015</v>
      </c>
      <c r="B2484" s="1" t="s">
        <v>14</v>
      </c>
      <c r="C2484" s="1" t="s">
        <v>1236</v>
      </c>
      <c r="D2484" s="1" t="str">
        <f>CONCATENATE("1317-2014-EMV",CHAR(10),"2014/S 002-0047641 od 17.10.2014.")</f>
        <v>1317-2014-EMV
2014/S 002-0047641 od 17.10.2014.</v>
      </c>
      <c r="E2484" s="1" t="s">
        <v>15</v>
      </c>
      <c r="F2484" s="1" t="str">
        <f>"1.708.994,24"</f>
        <v>1.708.994,24</v>
      </c>
      <c r="G2484" s="1" t="str">
        <f>CONCATENATE("03.02.2015.",CHAR(10),"60 dana od dana uvođenja u posao")</f>
        <v>03.02.2015.
60 dana od dana uvođenja u posao</v>
      </c>
      <c r="H2484" s="1" t="str">
        <f>CONCATENATE("ŠUŠKOVIĆ-GRAĐENJE D.O.O., ZAGREB")</f>
        <v>ŠUŠKOVIĆ-GRAĐENJE D.O.O., ZAGREB</v>
      </c>
      <c r="I2484" s="2"/>
      <c r="J2484" s="1"/>
      <c r="K2484" s="2"/>
    </row>
    <row r="2485" spans="1:11" ht="47.25" x14ac:dyDescent="0.25">
      <c r="A2485" s="1" t="str">
        <f>"59/2015"</f>
        <v>59/2015</v>
      </c>
      <c r="B2485" s="1" t="s">
        <v>26</v>
      </c>
      <c r="C2485" s="1" t="s">
        <v>1237</v>
      </c>
      <c r="D2485" s="1" t="str">
        <f>"243-2014-EMV"</f>
        <v>243-2014-EMV</v>
      </c>
      <c r="E2485" s="2"/>
      <c r="F2485" s="1" t="str">
        <f>"772.798,26"</f>
        <v>772.798,26</v>
      </c>
      <c r="G2485" s="1" t="str">
        <f>CONCATENATE("03.02.2015.",CHAR(10),"12 mjeseci od obostranog potpisa Ugovora")</f>
        <v>03.02.2015.
12 mjeseci od obostranog potpisa Ugovora</v>
      </c>
      <c r="H2485" s="1" t="str">
        <f>CONCATENATE("RETEL D.O.O., ZAGREB")</f>
        <v>RETEL D.O.O., ZAGREB</v>
      </c>
      <c r="I2485" s="2"/>
      <c r="J2485" s="1"/>
      <c r="K2485" s="2"/>
    </row>
    <row r="2486" spans="1:11" ht="47.25" x14ac:dyDescent="0.25">
      <c r="A2486" s="1" t="str">
        <f>"60/2015"</f>
        <v>60/2015</v>
      </c>
      <c r="B2486" s="1" t="s">
        <v>26</v>
      </c>
      <c r="C2486" s="1" t="s">
        <v>1125</v>
      </c>
      <c r="D2486" s="1" t="str">
        <f>"2014-507"</f>
        <v>2014-507</v>
      </c>
      <c r="E2486" s="2"/>
      <c r="F2486" s="1" t="str">
        <f>"687.845,44"</f>
        <v>687.845,44</v>
      </c>
      <c r="G2486" s="1" t="str">
        <f>CONCATENATE("03.02.2015.",CHAR(10),"01.06.2015")</f>
        <v>03.02.2015.
01.06.2015</v>
      </c>
      <c r="H2486" s="1" t="str">
        <f>CONCATENATE("KING ICT D.O.O., ZAGREB")</f>
        <v>KING ICT D.O.O., ZAGREB</v>
      </c>
      <c r="I2486" s="2"/>
      <c r="J2486" s="1"/>
      <c r="K2486" s="1" t="s">
        <v>607</v>
      </c>
    </row>
    <row r="2487" spans="1:11" ht="47.25" x14ac:dyDescent="0.25">
      <c r="A2487" s="1" t="str">
        <f>"61/2015"</f>
        <v>61/2015</v>
      </c>
      <c r="B2487" s="1" t="s">
        <v>136</v>
      </c>
      <c r="C2487" s="1" t="s">
        <v>1238</v>
      </c>
      <c r="D2487" s="1" t="str">
        <f>CONCATENATE("2014-2666",CHAR(10),"2014/S 002-0051072 od 06.11.2014.")</f>
        <v>2014-2666
2014/S 002-0051072 od 06.11.2014.</v>
      </c>
      <c r="E2487" s="1" t="s">
        <v>366</v>
      </c>
      <c r="F2487" s="1" t="str">
        <f>"448.973,00"</f>
        <v>448.973,00</v>
      </c>
      <c r="G2487" s="1" t="str">
        <f>CONCATENATE("03.02.2015.",CHAR(10),"2 godine")</f>
        <v>03.02.2015.
2 godine</v>
      </c>
      <c r="H2487" s="1" t="str">
        <f>CONCATENATE("KEMITEKS D.O.O., KLOŠTAR IVANIĆ")</f>
        <v>KEMITEKS D.O.O., KLOŠTAR IVANIĆ</v>
      </c>
      <c r="I2487" s="2"/>
      <c r="J2487" s="1"/>
      <c r="K2487" s="1" t="s">
        <v>607</v>
      </c>
    </row>
    <row r="2488" spans="1:11" ht="47.25" x14ac:dyDescent="0.25">
      <c r="A2488" s="1" t="str">
        <f>"62/2015"</f>
        <v>62/2015</v>
      </c>
      <c r="B2488" s="1" t="s">
        <v>14</v>
      </c>
      <c r="C2488" s="1" t="s">
        <v>1239</v>
      </c>
      <c r="D2488" s="1" t="str">
        <f>CONCATENATE("208-2014-EMV",CHAR(10),"2014/S 002-0027892 od 04.06.2014.")</f>
        <v>208-2014-EMV
2014/S 002-0027892 od 04.06.2014.</v>
      </c>
      <c r="E2488" s="1" t="s">
        <v>15</v>
      </c>
      <c r="F2488" s="1" t="str">
        <f>"2.087.568,00"</f>
        <v>2.087.568,00</v>
      </c>
      <c r="G2488" s="1" t="str">
        <f>CONCATENATE("03.02.2015.",CHAR(10),"90 dana od dana uvođenja u posao")</f>
        <v>03.02.2015.
90 dana od dana uvođenja u posao</v>
      </c>
      <c r="H2488" s="1" t="str">
        <f>CONCATENATE("HEDOM D.O.O., ZAGREB")</f>
        <v>HEDOM D.O.O., ZAGREB</v>
      </c>
      <c r="I2488" s="2"/>
      <c r="J2488" s="1"/>
      <c r="K2488" s="2"/>
    </row>
    <row r="2489" spans="1:11" ht="47.25" x14ac:dyDescent="0.25">
      <c r="A2489" s="1" t="str">
        <f>"63/2015"</f>
        <v>63/2015</v>
      </c>
      <c r="B2489" s="1" t="s">
        <v>14</v>
      </c>
      <c r="C2489" s="1" t="s">
        <v>2899</v>
      </c>
      <c r="D2489" s="1" t="str">
        <f>CONCATENATE("3161-2014-EBV",CHAR(10),"2015/S 015-0000531 od 12.01.2015.")</f>
        <v>3161-2014-EBV
2015/S 015-0000531 od 12.01.2015.</v>
      </c>
      <c r="E2489" s="1" t="s">
        <v>12</v>
      </c>
      <c r="F2489" s="1" t="str">
        <f>"133.447,96"</f>
        <v>133.447,96</v>
      </c>
      <c r="G2489" s="1" t="str">
        <f>CONCATENATE("03.02.2015.",CHAR(10),"10 dana od dana obostranog potpisa Ugovora")</f>
        <v>03.02.2015.
10 dana od dana obostranog potpisa Ugovora</v>
      </c>
      <c r="H2489" s="1" t="str">
        <f>CONCATENATE("UDŽBENIK.HR D.O.O., ZAGREB")</f>
        <v>UDŽBENIK.HR D.O.O., ZAGREB</v>
      </c>
      <c r="I2489" s="1" t="s">
        <v>1161</v>
      </c>
      <c r="J2489" s="1" t="str">
        <f>SUBSTITUTE(SUBSTITUTE(SUBSTITUTE("140,120.36",".","-"),",","."),"-",",")</f>
        <v>140.120,36</v>
      </c>
      <c r="K2489" s="2"/>
    </row>
    <row r="2490" spans="1:11" ht="47.25" x14ac:dyDescent="0.25">
      <c r="A2490" s="1" t="str">
        <f>"64/2015"</f>
        <v>64/2015</v>
      </c>
      <c r="B2490" s="1" t="s">
        <v>26</v>
      </c>
      <c r="C2490" s="1" t="s">
        <v>1240</v>
      </c>
      <c r="D2490" s="1" t="str">
        <f>"2014-153"</f>
        <v>2014-153</v>
      </c>
      <c r="E2490" s="2"/>
      <c r="F2490" s="1" t="str">
        <f>"122.572,00"</f>
        <v>122.572,00</v>
      </c>
      <c r="G2490" s="1" t="str">
        <f>CONCATENATE("03.02.2015.",CHAR(10),"31.08.2015")</f>
        <v>03.02.2015.
31.08.2015</v>
      </c>
      <c r="H2490" s="1" t="str">
        <f>CONCATENATE("AGROTUROPOLJE D.O.O., NOVO ČIČE")</f>
        <v>AGROTUROPOLJE D.O.O., NOVO ČIČE</v>
      </c>
      <c r="I2490" s="2"/>
      <c r="J2490" s="1"/>
      <c r="K2490" s="1" t="s">
        <v>607</v>
      </c>
    </row>
    <row r="2491" spans="1:11" ht="141.75" x14ac:dyDescent="0.25">
      <c r="A2491" s="1" t="str">
        <f>"65/2015"</f>
        <v>65/2015</v>
      </c>
      <c r="B2491" s="1" t="s">
        <v>136</v>
      </c>
      <c r="C2491" s="1" t="s">
        <v>1241</v>
      </c>
      <c r="D2491" s="1" t="str">
        <f>CONCATENATE("Z-2014-13",CHAR(10),"2014/S-002-0040003 od 22.08.2014.")</f>
        <v>Z-2014-13
2014/S-002-0040003 od 22.08.2014.</v>
      </c>
      <c r="E2491" s="1" t="s">
        <v>366</v>
      </c>
      <c r="F2491" s="1" t="str">
        <f>"1.970.230,00"</f>
        <v>1.970.230,00</v>
      </c>
      <c r="G2491" s="1" t="str">
        <f>CONCATENATE("03.02.2015.",CHAR(10),"2 godine")</f>
        <v>03.02.2015.
2 godine</v>
      </c>
      <c r="H2491" s="1" t="str">
        <f>CONCATENATE("GLOBALDIZAJN D.O.O., ZAGREB")</f>
        <v>GLOBALDIZAJN D.O.O., ZAGREB</v>
      </c>
      <c r="I2491" s="2"/>
      <c r="J2491" s="1"/>
      <c r="K2491" s="1" t="s">
        <v>607</v>
      </c>
    </row>
    <row r="2492" spans="1:11" ht="110.25" x14ac:dyDescent="0.25">
      <c r="A2492" s="1" t="str">
        <f>"66/2015"</f>
        <v>66/2015</v>
      </c>
      <c r="B2492" s="1" t="s">
        <v>14</v>
      </c>
      <c r="C2492" s="1" t="s">
        <v>1242</v>
      </c>
      <c r="D2492" s="1" t="str">
        <f>CONCATENATE("615-2014-EVV",CHAR(10),"2014/S 002-0041463 od 04.09.2014 i ispravak 2014/S 014-0045228 od 29.09.2014 i ispravak 2014/S 014-0045228 od 29.09.2014.")</f>
        <v>615-2014-EVV
2014/S 002-0041463 od 04.09.2014 i ispravak 2014/S 014-0045228 od 29.09.2014 i ispravak 2014/S 014-0045228 od 29.09.2014.</v>
      </c>
      <c r="E2492" s="1" t="s">
        <v>15</v>
      </c>
      <c r="F2492" s="1" t="str">
        <f>"1.814.605,30"</f>
        <v>1.814.605,30</v>
      </c>
      <c r="G2492" s="1" t="str">
        <f>CONCATENATE("15.01.2015.",CHAR(10),"12 mjeseci")</f>
        <v>15.01.2015.
12 mjeseci</v>
      </c>
      <c r="H2492" s="1" t="str">
        <f>CONCATENATE("ELEKTROKOVINA D.O.O., HRVATSKI LESKOVAC")</f>
        <v>ELEKTROKOVINA D.O.O., HRVATSKI LESKOVAC</v>
      </c>
      <c r="I2492" s="2"/>
      <c r="J2492" s="1"/>
      <c r="K2492" s="2"/>
    </row>
    <row r="2493" spans="1:11" ht="110.25" x14ac:dyDescent="0.25">
      <c r="A2493" s="1" t="str">
        <f>"A-10/2015"</f>
        <v>A-10/2015</v>
      </c>
      <c r="B2493" s="1" t="s">
        <v>11</v>
      </c>
      <c r="C2493" s="1" t="s">
        <v>1243</v>
      </c>
      <c r="D2493" s="1" t="str">
        <f>"1979-2012-EMV"</f>
        <v>1979-2012-EMV</v>
      </c>
      <c r="E2493" s="2"/>
      <c r="F2493" s="1" t="str">
        <f>"0,00"</f>
        <v>0,00</v>
      </c>
      <c r="G2493" s="1" t="str">
        <f>CONCATENATE("03.02.2015.",CHAR(10),"30.06.2015")</f>
        <v>03.02.2015.
30.06.2015</v>
      </c>
      <c r="H2493" s="1" t="str">
        <f>CONCATENATE("1. Zajednica ponuditelja: ",CHAR(10),"    INŽENJERSKI PROJEKTNI ZAVOD D.D., ZAGREB",CHAR(10),"    GEO-BIM D.O.O., SAMOBOR")</f>
        <v>1. Zajednica ponuditelja: 
    INŽENJERSKI PROJEKTNI ZAVOD D.D., ZAGREB
    GEO-BIM D.O.O., SAMOBOR</v>
      </c>
      <c r="I2493" s="2"/>
      <c r="J2493" s="1"/>
      <c r="K2493" s="2"/>
    </row>
    <row r="2494" spans="1:11" ht="126" x14ac:dyDescent="0.25">
      <c r="A2494" s="1" t="str">
        <f>"67/2015"</f>
        <v>67/2015</v>
      </c>
      <c r="B2494" s="1" t="s">
        <v>14</v>
      </c>
      <c r="C2494" s="1" t="s">
        <v>1244</v>
      </c>
      <c r="D2494" s="1" t="str">
        <f>CONCATENATE("2300-2014-EMV",CHAR(10),"2014/S 002-0050728 od 05.11.2014.")</f>
        <v>2300-2014-EMV
2014/S 002-0050728 od 05.11.2014.</v>
      </c>
      <c r="E2494" s="1" t="s">
        <v>15</v>
      </c>
      <c r="F2494" s="1" t="str">
        <f>"97.500,00"</f>
        <v>97.500,00</v>
      </c>
      <c r="G2494" s="1" t="str">
        <f>CONCATENATE("03.02.2015.",CHAR(10),"6 mjeseci od dana obostranog potpisa Ugovora")</f>
        <v>03.02.2015.
6 mjeseci od dana obostranog potpisa Ugovora</v>
      </c>
      <c r="H2494" s="1" t="str">
        <f>CONCATENATE("KONZALT ING D.O.O., ZAGREB")</f>
        <v>KONZALT ING D.O.O., ZAGREB</v>
      </c>
      <c r="I2494" s="2"/>
      <c r="J2494" s="1"/>
      <c r="K2494" s="2"/>
    </row>
    <row r="2495" spans="1:11" ht="47.25" x14ac:dyDescent="0.25">
      <c r="A2495" s="1" t="str">
        <f>"68/2015"</f>
        <v>68/2015</v>
      </c>
      <c r="B2495" s="1" t="s">
        <v>26</v>
      </c>
      <c r="C2495" s="1" t="s">
        <v>1245</v>
      </c>
      <c r="D2495" s="1" t="str">
        <f>"2014-2377"</f>
        <v>2014-2377</v>
      </c>
      <c r="E2495" s="2"/>
      <c r="F2495" s="1" t="str">
        <f>"739.972,00"</f>
        <v>739.972,00</v>
      </c>
      <c r="G2495" s="1" t="str">
        <f>CONCATENATE("03.02.2015.",CHAR(10),"31.03.2015")</f>
        <v>03.02.2015.
31.03.2015</v>
      </c>
      <c r="H2495" s="1" t="str">
        <f>CONCATENATE("VULKAL D.O.O., ZAGREB")</f>
        <v>VULKAL D.O.O., ZAGREB</v>
      </c>
      <c r="I2495" s="1" t="s">
        <v>1246</v>
      </c>
      <c r="J2495" s="1" t="str">
        <f>SUBSTITUTE(SUBSTITUTE(SUBSTITUTE("180,670.17",".","-"),",","."),"-",",")</f>
        <v>180.670,17</v>
      </c>
      <c r="K2495" s="1" t="s">
        <v>607</v>
      </c>
    </row>
    <row r="2496" spans="1:11" ht="47.25" x14ac:dyDescent="0.25">
      <c r="A2496" s="1" t="str">
        <f>"69/2015"</f>
        <v>69/2015</v>
      </c>
      <c r="B2496" s="1" t="s">
        <v>26</v>
      </c>
      <c r="C2496" s="1" t="s">
        <v>1247</v>
      </c>
      <c r="D2496" s="1" t="str">
        <f>"2014-1094"</f>
        <v>2014-1094</v>
      </c>
      <c r="E2496" s="2"/>
      <c r="F2496" s="1" t="str">
        <f>"924.000,00"</f>
        <v>924.000,00</v>
      </c>
      <c r="G2496" s="1" t="str">
        <f>CONCATENATE("03.02.2015.",CHAR(10),"28.02.2015")</f>
        <v>03.02.2015.
28.02.2015</v>
      </c>
      <c r="H2496" s="1" t="str">
        <f>CONCATENATE("GUT D.O.O., ZAGREB")</f>
        <v>GUT D.O.O., ZAGREB</v>
      </c>
      <c r="I2496" s="1" t="s">
        <v>1248</v>
      </c>
      <c r="J2496" s="1" t="str">
        <f>SUBSTITUTE(SUBSTITUTE(SUBSTITUTE("529,194.33",".","-"),",","."),"-",",")</f>
        <v>529.194,33</v>
      </c>
      <c r="K2496" s="1" t="s">
        <v>607</v>
      </c>
    </row>
    <row r="2497" spans="1:11" ht="63" x14ac:dyDescent="0.25">
      <c r="A2497" s="1" t="str">
        <f>"70/2015"</f>
        <v>70/2015</v>
      </c>
      <c r="B2497" s="1" t="s">
        <v>14</v>
      </c>
      <c r="C2497" s="1" t="s">
        <v>1249</v>
      </c>
      <c r="D2497" s="1" t="str">
        <f>CONCATENATE("1374-2014-EMV",CHAR(10),"2014/S 002-0047500 od 16.10.2014.")</f>
        <v>1374-2014-EMV
2014/S 002-0047500 od 16.10.2014.</v>
      </c>
      <c r="E2497" s="1" t="s">
        <v>15</v>
      </c>
      <c r="F2497" s="1" t="str">
        <f>"148.000,00"</f>
        <v>148.000,00</v>
      </c>
      <c r="G2497" s="1" t="str">
        <f>CONCATENATE("03.02.2015.",CHAR(10),"4 mjeseca od dana obostranog potisa Ugovora")</f>
        <v>03.02.2015.
4 mjeseca od dana obostranog potisa Ugovora</v>
      </c>
      <c r="H2497" s="1" t="str">
        <f>CONCATENATE("ELIPSA - S.Z. D.O.O., ZAGREB")</f>
        <v>ELIPSA - S.Z. D.O.O., ZAGREB</v>
      </c>
      <c r="I2497" s="2"/>
      <c r="J2497" s="1"/>
      <c r="K2497" s="2"/>
    </row>
    <row r="2498" spans="1:11" ht="78.75" x14ac:dyDescent="0.25">
      <c r="A2498" s="1" t="str">
        <f>"71/2015"</f>
        <v>71/2015</v>
      </c>
      <c r="B2498" s="1" t="s">
        <v>14</v>
      </c>
      <c r="C2498" s="1" t="s">
        <v>1250</v>
      </c>
      <c r="D2498" s="1" t="str">
        <f>CONCATENATE("2542-2014-EVV",CHAR(10),"2014/S-002-0042796 od 11.09.2014.")</f>
        <v>2542-2014-EVV
2014/S-002-0042796 od 11.09.2014.</v>
      </c>
      <c r="E2498" s="1" t="s">
        <v>15</v>
      </c>
      <c r="F2498" s="1" t="str">
        <f>"5.399.000,00"</f>
        <v>5.399.000,00</v>
      </c>
      <c r="G2498" s="1" t="str">
        <f>CONCATENATE("03.02.2015.",CHAR(10),"18 mjeseci od dana obostranog potpisa Ugovora")</f>
        <v>03.02.2015.
18 mjeseci od dana obostranog potpisa Ugovora</v>
      </c>
      <c r="H2498" s="1" t="str">
        <f>CONCATENATE("1. Zajednica ponuditelja: ",CHAR(10),"    DRUŠTVO ARHITEKATA ZAGREBA - DAZ, ZAGREB",CHAR(10),"    ARHITEKTONSKI FAKULTET SVEUČILIŠTA U ZAGREBU, ZAGREB")</f>
        <v>1. Zajednica ponuditelja: 
    DRUŠTVO ARHITEKATA ZAGREBA - DAZ, ZAGREB
    ARHITEKTONSKI FAKULTET SVEUČILIŠTA U ZAGREBU, ZAGREB</v>
      </c>
      <c r="I2498" s="2"/>
      <c r="J2498" s="1"/>
      <c r="K2498" s="2"/>
    </row>
    <row r="2499" spans="1:11" ht="47.25" x14ac:dyDescent="0.25">
      <c r="A2499" s="1" t="str">
        <f>"72/2015"</f>
        <v>72/2015</v>
      </c>
      <c r="B2499" s="1" t="s">
        <v>136</v>
      </c>
      <c r="C2499" s="1" t="s">
        <v>1251</v>
      </c>
      <c r="D2499" s="1" t="str">
        <f>CONCATENATE("2014-2387",CHAR(10),"2014/S 002-0052048 od 12.11.2014.")</f>
        <v>2014-2387
2014/S 002-0052048 od 12.11.2014.</v>
      </c>
      <c r="E2499" s="1" t="s">
        <v>366</v>
      </c>
      <c r="F2499" s="1" t="str">
        <f>"687.085,00"</f>
        <v>687.085,00</v>
      </c>
      <c r="G2499" s="1" t="str">
        <f>CONCATENATE("03.02.2015.",CHAR(10),"2 godine")</f>
        <v>03.02.2015.
2 godine</v>
      </c>
      <c r="H2499" s="1" t="str">
        <f>CONCATENATE("DETA PRUT D.O.O., ZAGREB")</f>
        <v>DETA PRUT D.O.O., ZAGREB</v>
      </c>
      <c r="I2499" s="2"/>
      <c r="J2499" s="1"/>
      <c r="K2499" s="1" t="s">
        <v>607</v>
      </c>
    </row>
    <row r="2500" spans="1:11" ht="63" x14ac:dyDescent="0.25">
      <c r="A2500" s="1" t="str">
        <f>"A-11/2015"</f>
        <v>A-11/2015</v>
      </c>
      <c r="B2500" s="1" t="s">
        <v>11</v>
      </c>
      <c r="C2500" s="1" t="s">
        <v>1252</v>
      </c>
      <c r="D2500" s="1" t="str">
        <f>"1348-2013-EMV"</f>
        <v>1348-2013-EMV</v>
      </c>
      <c r="E2500" s="2"/>
      <c r="F2500" s="1" t="str">
        <f>"18.000,00"</f>
        <v>18.000,00</v>
      </c>
      <c r="G2500" s="1" t="str">
        <f>"03.02.2015."</f>
        <v>03.02.2015.</v>
      </c>
      <c r="H2500" s="1" t="str">
        <f>CONCATENATE("1. Zajednica ponuditelja: ",CHAR(10),"    PRIGORAC-GRAĐENJE D.O.O., SESVETE",CHAR(10),"    MGV D.O.O., ZAGREB")</f>
        <v>1. Zajednica ponuditelja: 
    PRIGORAC-GRAĐENJE D.O.O., SESVETE
    MGV D.O.O., ZAGREB</v>
      </c>
      <c r="I2500" s="2"/>
      <c r="J2500" s="1"/>
      <c r="K2500" s="2"/>
    </row>
    <row r="2501" spans="1:11" ht="47.25" x14ac:dyDescent="0.25">
      <c r="A2501" s="1" t="str">
        <f>"73/2015"</f>
        <v>73/2015</v>
      </c>
      <c r="B2501" s="1" t="s">
        <v>26</v>
      </c>
      <c r="C2501" s="1" t="s">
        <v>1253</v>
      </c>
      <c r="D2501" s="1" t="str">
        <f>"1292-2014-EMV"</f>
        <v>1292-2014-EMV</v>
      </c>
      <c r="E2501" s="2"/>
      <c r="F2501" s="1" t="str">
        <f>"755.135,00"</f>
        <v>755.135,00</v>
      </c>
      <c r="G2501" s="1" t="str">
        <f>CONCATENATE("03.02.2015.",CHAR(10),"12 mjeseci od dana obostranog potpisa Ugovora")</f>
        <v>03.02.2015.
12 mjeseci od dana obostranog potpisa Ugovora</v>
      </c>
      <c r="H2501" s="1" t="str">
        <f>CONCATENATE("URAR LEBAROVIĆ OBRT ZA PROIZVODNJU I POPRAVAK SATOVA VL. DALIBOR LEBAROVIĆ, ZAGREB")</f>
        <v>URAR LEBAROVIĆ OBRT ZA PROIZVODNJU I POPRAVAK SATOVA VL. DALIBOR LEBAROVIĆ, ZAGREB</v>
      </c>
      <c r="I2501" s="2"/>
      <c r="J2501" s="1"/>
      <c r="K2501" s="2"/>
    </row>
    <row r="2502" spans="1:11" ht="94.5" x14ac:dyDescent="0.25">
      <c r="A2502" s="1" t="str">
        <f>"A-12/2015"</f>
        <v>A-12/2015</v>
      </c>
      <c r="B2502" s="1" t="s">
        <v>11</v>
      </c>
      <c r="C2502" s="1" t="s">
        <v>1254</v>
      </c>
      <c r="D2502" s="1" t="str">
        <f>"1886-2012-EMV"</f>
        <v>1886-2012-EMV</v>
      </c>
      <c r="E2502" s="2"/>
      <c r="F2502" s="1" t="str">
        <f>"0,00"</f>
        <v>0,00</v>
      </c>
      <c r="G2502" s="1" t="str">
        <f>CONCATENATE("03.02.2015.",CHAR(10),"30.06.2015")</f>
        <v>03.02.2015.
30.06.2015</v>
      </c>
      <c r="H2502" s="1" t="str">
        <f>CONCATENATE("1. Zajednica ponuditelja: ",CHAR(10),"    INŽENJERSKI PROJEKTNI ZAVOD D.D., ZAGREB",CHAR(10),"    GEO-BIM D.O.O., SAMOBOR")</f>
        <v>1. Zajednica ponuditelja: 
    INŽENJERSKI PROJEKTNI ZAVOD D.D., ZAGREB
    GEO-BIM D.O.O., SAMOBOR</v>
      </c>
      <c r="I2502" s="2"/>
      <c r="J2502" s="1"/>
      <c r="K2502" s="2"/>
    </row>
    <row r="2503" spans="1:11" ht="126" x14ac:dyDescent="0.25">
      <c r="A2503" s="1" t="str">
        <f>"A-13/2015"</f>
        <v>A-13/2015</v>
      </c>
      <c r="B2503" s="1" t="s">
        <v>11</v>
      </c>
      <c r="C2503" s="1" t="s">
        <v>1255</v>
      </c>
      <c r="D2503" s="1" t="str">
        <f>"1968-2012-EMV"</f>
        <v>1968-2012-EMV</v>
      </c>
      <c r="E2503" s="2"/>
      <c r="F2503" s="1" t="str">
        <f>"0,00"</f>
        <v>0,00</v>
      </c>
      <c r="G2503" s="1" t="str">
        <f>CONCATENATE("03.02.2015.",CHAR(10),"30.06.2015")</f>
        <v>03.02.2015.
30.06.2015</v>
      </c>
      <c r="H2503" s="1" t="str">
        <f>CONCATENATE("1. Zajednica ponuditelja: ",CHAR(10),"    INŽENJERSKI PROJEKTNI ZAVOD D.D., ZAGREB",CHAR(10),"    GEO-BIM D.O.O., SAMOBOR")</f>
        <v>1. Zajednica ponuditelja: 
    INŽENJERSKI PROJEKTNI ZAVOD D.D., ZAGREB
    GEO-BIM D.O.O., SAMOBOR</v>
      </c>
      <c r="I2503" s="2"/>
      <c r="J2503" s="1"/>
      <c r="K2503" s="2"/>
    </row>
    <row r="2504" spans="1:11" ht="78.75" x14ac:dyDescent="0.25">
      <c r="A2504" s="1" t="str">
        <f>"74/2015"</f>
        <v>74/2015</v>
      </c>
      <c r="B2504" s="1" t="s">
        <v>136</v>
      </c>
      <c r="C2504" s="1" t="s">
        <v>1256</v>
      </c>
      <c r="D2504" s="1" t="str">
        <f>CONCATENATE("2014-2546",CHAR(10),"2014/S 002-0044554 od 24.09.2014 i ispravak  2014/S 002-0046256 od 06.10.2014.")</f>
        <v>2014-2546
2014/S 002-0044554 od 24.09.2014 i ispravak  2014/S 002-0046256 od 06.10.2014.</v>
      </c>
      <c r="E2504" s="1" t="s">
        <v>366</v>
      </c>
      <c r="F2504" s="1" t="str">
        <f>"211.000,00"</f>
        <v>211.000,00</v>
      </c>
      <c r="G2504" s="1" t="str">
        <f>CONCATENATE("03.02.2015.",CHAR(10),"2 godine")</f>
        <v>03.02.2015.
2 godine</v>
      </c>
      <c r="H2504" s="1" t="str">
        <f>CONCATENATE("HIDRO.LAB D.O.O., IČIĆI")</f>
        <v>HIDRO.LAB D.O.O., IČIĆI</v>
      </c>
      <c r="I2504" s="2"/>
      <c r="J2504" s="1"/>
      <c r="K2504" s="1" t="s">
        <v>607</v>
      </c>
    </row>
    <row r="2505" spans="1:11" ht="47.25" x14ac:dyDescent="0.25">
      <c r="A2505" s="1" t="str">
        <f>"75/2015"</f>
        <v>75/2015</v>
      </c>
      <c r="B2505" s="1" t="s">
        <v>136</v>
      </c>
      <c r="C2505" s="1" t="s">
        <v>1257</v>
      </c>
      <c r="D2505" s="1" t="str">
        <f>CONCATENATE("2014-47",CHAR(10),"2014/S 002-0047247 od 15.10.2014.")</f>
        <v>2014-47
2014/S 002-0047247 od 15.10.2014.</v>
      </c>
      <c r="E2505" s="1" t="s">
        <v>366</v>
      </c>
      <c r="F2505" s="1" t="str">
        <f>"663.725,00"</f>
        <v>663.725,00</v>
      </c>
      <c r="G2505" s="1" t="str">
        <f>CONCATENATE("03.02.2015.",CHAR(10),"2 godine")</f>
        <v>03.02.2015.
2 godine</v>
      </c>
      <c r="H2505" s="1" t="str">
        <f>CONCATENATE("MARETON  D.O.O., ZAGREB")</f>
        <v>MARETON  D.O.O., ZAGREB</v>
      </c>
      <c r="I2505" s="2"/>
      <c r="J2505" s="1"/>
      <c r="K2505" s="1" t="s">
        <v>607</v>
      </c>
    </row>
    <row r="2506" spans="1:11" ht="47.25" x14ac:dyDescent="0.25">
      <c r="A2506" s="1" t="str">
        <f>"76/2015"</f>
        <v>76/2015</v>
      </c>
      <c r="B2506" s="1" t="s">
        <v>14</v>
      </c>
      <c r="C2506" s="1" t="s">
        <v>1258</v>
      </c>
      <c r="D2506" s="1" t="str">
        <f>CONCATENATE("2014-2085",CHAR(10),"2014/S-002-0042332 od 09.09.2014.")</f>
        <v>2014-2085
2014/S-002-0042332 od 09.09.2014.</v>
      </c>
      <c r="E2506" s="1" t="s">
        <v>15</v>
      </c>
      <c r="F2506" s="1" t="str">
        <f>"1.108.670,20"</f>
        <v>1.108.670,20</v>
      </c>
      <c r="G2506" s="1" t="str">
        <f>CONCATENATE("04.02.2015.",CHAR(10),"210 dana od dana uvođenja u posao")</f>
        <v>04.02.2015.
210 dana od dana uvođenja u posao</v>
      </c>
      <c r="H2506" s="1" t="str">
        <f>CONCATENATE("GEORAD D.O.O., ZAGREB")</f>
        <v>GEORAD D.O.O., ZAGREB</v>
      </c>
      <c r="I2506" s="2"/>
      <c r="J2506" s="1"/>
      <c r="K2506" s="1" t="s">
        <v>607</v>
      </c>
    </row>
    <row r="2507" spans="1:11" ht="47.25" x14ac:dyDescent="0.25">
      <c r="A2507" s="1" t="str">
        <f>"77/2015"</f>
        <v>77/2015</v>
      </c>
      <c r="B2507" s="1" t="s">
        <v>26</v>
      </c>
      <c r="C2507" s="1" t="s">
        <v>1259</v>
      </c>
      <c r="D2507" s="1" t="str">
        <f>"2014-46"</f>
        <v>2014-46</v>
      </c>
      <c r="E2507" s="2"/>
      <c r="F2507" s="1" t="str">
        <f>"351.145,70"</f>
        <v>351.145,70</v>
      </c>
      <c r="G2507" s="1" t="str">
        <f>CONCATENATE("05.02.2015.",CHAR(10),"31.08.2015")</f>
        <v>05.02.2015.
31.08.2015</v>
      </c>
      <c r="H2507" s="1" t="str">
        <f>CONCATENATE("INDUSTROOPREMA D.O.O, ZAGREB")</f>
        <v>INDUSTROOPREMA D.O.O, ZAGREB</v>
      </c>
      <c r="I2507" s="2"/>
      <c r="J2507" s="1"/>
      <c r="K2507" s="1" t="s">
        <v>607</v>
      </c>
    </row>
    <row r="2508" spans="1:11" ht="47.25" x14ac:dyDescent="0.25">
      <c r="A2508" s="1" t="str">
        <f>"78/2015"</f>
        <v>78/2015</v>
      </c>
      <c r="B2508" s="1" t="s">
        <v>26</v>
      </c>
      <c r="C2508" s="1" t="s">
        <v>1260</v>
      </c>
      <c r="D2508" s="1" t="str">
        <f>"235-2013-EVV"</f>
        <v>235-2013-EVV</v>
      </c>
      <c r="E2508" s="2"/>
      <c r="F2508" s="1" t="str">
        <f>"5.898.780,00"</f>
        <v>5.898.780,00</v>
      </c>
      <c r="G2508" s="1" t="str">
        <f>CONCATENATE("02.01.2015.",CHAR(10),"26.05.2015")</f>
        <v>02.01.2015.
26.05.2015</v>
      </c>
      <c r="H2508" s="1" t="str">
        <f>CONCATENATE("APIS IT D.O.O., ZAGREB")</f>
        <v>APIS IT D.O.O., ZAGREB</v>
      </c>
      <c r="I2508" s="2"/>
      <c r="J2508" s="1"/>
      <c r="K2508" s="2"/>
    </row>
    <row r="2509" spans="1:11" ht="78.75" x14ac:dyDescent="0.25">
      <c r="A2509" s="1" t="str">
        <f>"A-14/2015"</f>
        <v>A-14/2015</v>
      </c>
      <c r="B2509" s="1" t="s">
        <v>11</v>
      </c>
      <c r="C2509" s="1" t="s">
        <v>1261</v>
      </c>
      <c r="D2509" s="1" t="str">
        <f>"1468-2013-EMV"</f>
        <v>1468-2013-EMV</v>
      </c>
      <c r="E2509" s="2"/>
      <c r="F2509" s="1" t="str">
        <f>"0,00"</f>
        <v>0,00</v>
      </c>
      <c r="G2509" s="1" t="str">
        <f>CONCATENATE("30.01.2015.",CHAR(10),"Do potpune financijske realizacije iznosa iz Osnovnog ugovora, odnosno do potpisa novog ugovora")</f>
        <v>30.01.2015.
Do potpune financijske realizacije iznosa iz Osnovnog ugovora, odnosno do potpisa novog ugovora</v>
      </c>
      <c r="H2509" s="1" t="str">
        <f>CONCATENATE("V GRUPA D.O.O., ZAGREB")</f>
        <v>V GRUPA D.O.O., ZAGREB</v>
      </c>
      <c r="I2509" s="2"/>
      <c r="J2509" s="1"/>
      <c r="K2509" s="2"/>
    </row>
    <row r="2510" spans="1:11" ht="47.25" x14ac:dyDescent="0.25">
      <c r="A2510" s="1" t="str">
        <f>"80/2015"</f>
        <v>80/2015</v>
      </c>
      <c r="B2510" s="1" t="s">
        <v>14</v>
      </c>
      <c r="C2510" s="1" t="s">
        <v>1262</v>
      </c>
      <c r="D2510" s="1" t="str">
        <f>CONCATENATE("3071-2014-EMV",CHAR(10),"2014/S 002-0044516 od 24.09.2014.")</f>
        <v>3071-2014-EMV
2014/S 002-0044516 od 24.09.2014.</v>
      </c>
      <c r="E2510" s="1" t="s">
        <v>15</v>
      </c>
      <c r="F2510" s="1" t="str">
        <f>"789.750,00"</f>
        <v>789.750,00</v>
      </c>
      <c r="G2510" s="1" t="str">
        <f>CONCATENATE("09.02.2015.",CHAR(10),"60 dana od dana obostranog potpisa Ugovora")</f>
        <v>09.02.2015.
60 dana od dana obostranog potpisa Ugovora</v>
      </c>
      <c r="H2510" s="1" t="str">
        <f>CONCATENATE("H.K.O. D.O.O., ZAGREB")</f>
        <v>H.K.O. D.O.O., ZAGREB</v>
      </c>
      <c r="I2510" s="1" t="s">
        <v>1263</v>
      </c>
      <c r="J2510" s="1" t="str">
        <f>SUBSTITUTE(SUBSTITUTE(SUBSTITUTE("987,187.50",".","-"),",","."),"-",",")</f>
        <v>987.187,50</v>
      </c>
      <c r="K2510" s="2"/>
    </row>
    <row r="2511" spans="1:11" ht="47.25" x14ac:dyDescent="0.25">
      <c r="A2511" s="1" t="str">
        <f>"81/2015"</f>
        <v>81/2015</v>
      </c>
      <c r="B2511" s="1" t="s">
        <v>14</v>
      </c>
      <c r="C2511" s="1" t="s">
        <v>1264</v>
      </c>
      <c r="D2511" s="1" t="str">
        <f>CONCATENATE("2347-2014-EMV",CHAR(10),"2014/S 002-0045800 od 02.10.2014.")</f>
        <v>2347-2014-EMV
2014/S 002-0045800 od 02.10.2014.</v>
      </c>
      <c r="E2511" s="1" t="s">
        <v>15</v>
      </c>
      <c r="F2511" s="1" t="str">
        <f>"117.362,34"</f>
        <v>117.362,34</v>
      </c>
      <c r="G2511" s="1" t="str">
        <f>CONCATENATE("09.02.2015.",CHAR(10),"3 mjeseca od dana obostranog potpisa Ugovora")</f>
        <v>09.02.2015.
3 mjeseca od dana obostranog potpisa Ugovora</v>
      </c>
      <c r="H2511" s="1" t="str">
        <f>CONCATENATE("AUTOZUBAK D.O.O., VELIKA GORICA")</f>
        <v>AUTOZUBAK D.O.O., VELIKA GORICA</v>
      </c>
      <c r="I2511" s="2"/>
      <c r="J2511" s="1"/>
      <c r="K2511" s="2"/>
    </row>
    <row r="2512" spans="1:11" ht="47.25" x14ac:dyDescent="0.25">
      <c r="A2512" s="1" t="str">
        <f>"82/2015"</f>
        <v>82/2015</v>
      </c>
      <c r="B2512" s="1" t="s">
        <v>136</v>
      </c>
      <c r="C2512" s="1" t="s">
        <v>1265</v>
      </c>
      <c r="D2512" s="1" t="str">
        <f>CONCATENATE("2014-57",CHAR(10),"2014/S 002-0052641 od 14.11.2014.")</f>
        <v>2014-57
2014/S 002-0052641 od 14.11.2014.</v>
      </c>
      <c r="E2512" s="1" t="s">
        <v>366</v>
      </c>
      <c r="F2512" s="1" t="str">
        <f>"3.799.852,00"</f>
        <v>3.799.852,00</v>
      </c>
      <c r="G2512" s="1" t="str">
        <f>CONCATENATE("10.02.2015.",CHAR(10),"2 godine")</f>
        <v>10.02.2015.
2 godine</v>
      </c>
      <c r="H2512" s="1" t="str">
        <f>CONCATENATE("AKD D.O.O., ZAGREB")</f>
        <v>AKD D.O.O., ZAGREB</v>
      </c>
      <c r="I2512" s="2"/>
      <c r="J2512" s="1"/>
      <c r="K2512" s="1" t="s">
        <v>607</v>
      </c>
    </row>
    <row r="2513" spans="1:11" ht="78.75" x14ac:dyDescent="0.25">
      <c r="A2513" s="1" t="str">
        <f>"83/2015"</f>
        <v>83/2015</v>
      </c>
      <c r="B2513" s="1" t="s">
        <v>14</v>
      </c>
      <c r="C2513" s="1" t="s">
        <v>1266</v>
      </c>
      <c r="D2513" s="1" t="str">
        <f>CONCATENATE("2014-2672",CHAR(10),"2014/S-002-0045990 od 03.10.2014.")</f>
        <v>2014-2672
2014/S-002-0045990 od 03.10.2014.</v>
      </c>
      <c r="E2513" s="1" t="s">
        <v>15</v>
      </c>
      <c r="F2513" s="1" t="str">
        <f>"2.903.835,62"</f>
        <v>2.903.835,62</v>
      </c>
      <c r="G2513" s="1" t="str">
        <f>CONCATENATE("28.01.2015.",CHAR(10),"12 mjeseci od dana sklapanja Ugovora (s mogućnošću produljenja na 36 mjeseci)")</f>
        <v>28.01.2015.
12 mjeseci od dana sklapanja Ugovora (s mogućnošću produljenja na 36 mjeseci)</v>
      </c>
      <c r="H2513" s="1" t="str">
        <f>CONCATENATE("HRVATSKA POŠTANSKA BANKA D.D., ZAGREB")</f>
        <v>HRVATSKA POŠTANSKA BANKA D.D., ZAGREB</v>
      </c>
      <c r="I2513" s="2"/>
      <c r="J2513" s="1"/>
      <c r="K2513" s="1" t="s">
        <v>607</v>
      </c>
    </row>
    <row r="2514" spans="1:11" ht="63" x14ac:dyDescent="0.25">
      <c r="A2514" s="1" t="str">
        <f>"84/2015"</f>
        <v>84/2015</v>
      </c>
      <c r="B2514" s="1" t="s">
        <v>14</v>
      </c>
      <c r="C2514" s="1" t="s">
        <v>1267</v>
      </c>
      <c r="D2514" s="1" t="str">
        <f>CONCATENATE("2014-2672",CHAR(10),"2014/S-002-0045990 od 03.10.2014.")</f>
        <v>2014-2672
2014/S-002-0045990 od 03.10.2014.</v>
      </c>
      <c r="E2514" s="1" t="s">
        <v>15</v>
      </c>
      <c r="F2514" s="1" t="str">
        <f>"5.747.945,19"</f>
        <v>5.747.945,19</v>
      </c>
      <c r="G2514" s="1" t="str">
        <f>CONCATENATE("04.02.2015.",CHAR(10),"12 mjeseci od dana sklapanja Ugovora (s mogućnošću produljenja na 36 mjeseci)")</f>
        <v>04.02.2015.
12 mjeseci od dana sklapanja Ugovora (s mogućnošću produljenja na 36 mjeseci)</v>
      </c>
      <c r="H2514" s="1" t="str">
        <f>CONCATENATE("ZAGREBAČKA BANKA D.D., ZAGREB")</f>
        <v>ZAGREBAČKA BANKA D.D., ZAGREB</v>
      </c>
      <c r="I2514" s="2"/>
      <c r="J2514" s="1"/>
      <c r="K2514" s="1" t="s">
        <v>607</v>
      </c>
    </row>
    <row r="2515" spans="1:11" ht="110.25" x14ac:dyDescent="0.25">
      <c r="A2515" s="1" t="str">
        <f>"85/2015"</f>
        <v>85/2015</v>
      </c>
      <c r="B2515" s="1" t="s">
        <v>26</v>
      </c>
      <c r="C2515" s="1" t="s">
        <v>1268</v>
      </c>
      <c r="D2515" s="1" t="str">
        <f>"24-2014-EVV"</f>
        <v>24-2014-EVV</v>
      </c>
      <c r="E2515" s="2"/>
      <c r="F2515" s="1" t="str">
        <f>"8.366,16"</f>
        <v>8.366,16</v>
      </c>
      <c r="G2515" s="1" t="str">
        <f>CONCATENATE("10.02.2015.",CHAR(10),"12 mjeseci od dana obostranog potpisa Ugovora")</f>
        <v>10.02.2015.
12 mjeseci od dana obostranog potpisa Ugovora</v>
      </c>
      <c r="H2515" s="1" t="str">
        <f>CONCATENATE("1. Zajednica ponuditelja: ",CHAR(10),"    EKO-DERATIZACIJA D.O.O., ZAGREB",CHAR(10),"    EKOTOURS D.O.O., ZAGREB",CHAR(10),"    ADRIA GRUPA D.O.O., ZAGREB")</f>
        <v>1. Zajednica ponuditelja: 
    EKO-DERATIZACIJA D.O.O., ZAGREB
    EKOTOURS D.O.O., ZAGREB
    ADRIA GRUPA D.O.O., ZAGREB</v>
      </c>
      <c r="I2515" s="2"/>
      <c r="J2515" s="1"/>
      <c r="K2515" s="2"/>
    </row>
    <row r="2516" spans="1:11" ht="78.75" x14ac:dyDescent="0.25">
      <c r="A2516" s="1" t="str">
        <f>"86/2015"</f>
        <v>86/2015</v>
      </c>
      <c r="B2516" s="1" t="s">
        <v>26</v>
      </c>
      <c r="C2516" s="1" t="s">
        <v>1269</v>
      </c>
      <c r="D2516" s="1" t="str">
        <f>"24-2014-EVV"</f>
        <v>24-2014-EVV</v>
      </c>
      <c r="E2516" s="2"/>
      <c r="F2516" s="1" t="str">
        <f>"150.111,95"</f>
        <v>150.111,95</v>
      </c>
      <c r="G2516" s="1" t="str">
        <f>CONCATENATE("10.02.2015.",CHAR(10),"12 mjeseci od dana obostranog potpisa Ugovora")</f>
        <v>10.02.2015.
12 mjeseci od dana obostranog potpisa Ugovora</v>
      </c>
      <c r="H2516" s="1" t="str">
        <f>CONCATENATE("1. Zajednica ponuditelja: ",CHAR(10),"    EKO-DERATIZACIJA D.O.O., ZAGREB",CHAR(10),"    EKOTOURS D.O.O., ZAGREB",CHAR(10),"    ADRIA GRUPA D.O.O., ZAGREB")</f>
        <v>1. Zajednica ponuditelja: 
    EKO-DERATIZACIJA D.O.O., ZAGREB
    EKOTOURS D.O.O., ZAGREB
    ADRIA GRUPA D.O.O., ZAGREB</v>
      </c>
      <c r="I2516" s="2"/>
      <c r="J2516" s="1"/>
      <c r="K2516" s="2"/>
    </row>
    <row r="2517" spans="1:11" ht="47.25" x14ac:dyDescent="0.25">
      <c r="A2517" s="1" t="str">
        <f>"87/2015"</f>
        <v>87/2015</v>
      </c>
      <c r="B2517" s="1" t="s">
        <v>26</v>
      </c>
      <c r="C2517" s="1" t="s">
        <v>1270</v>
      </c>
      <c r="D2517" s="1" t="str">
        <f>"2014-2334"</f>
        <v>2014-2334</v>
      </c>
      <c r="E2517" s="2"/>
      <c r="F2517" s="1" t="str">
        <f>"1.579.200,00"</f>
        <v>1.579.200,00</v>
      </c>
      <c r="G2517" s="1" t="str">
        <f>CONCATENATE("10.02.2015.",CHAR(10),"31.5.2015")</f>
        <v>10.02.2015.
31.5.2015</v>
      </c>
      <c r="H2517" s="1" t="str">
        <f>CONCATENATE("GUMIIMPEX - GRP D.D., VARAŽDIN")</f>
        <v>GUMIIMPEX - GRP D.D., VARAŽDIN</v>
      </c>
      <c r="I2517" s="2"/>
      <c r="J2517" s="1"/>
      <c r="K2517" s="1" t="s">
        <v>607</v>
      </c>
    </row>
    <row r="2518" spans="1:11" ht="31.5" x14ac:dyDescent="0.25">
      <c r="A2518" s="1" t="str">
        <f>"A-15/2015"</f>
        <v>A-15/2015</v>
      </c>
      <c r="B2518" s="1" t="s">
        <v>11</v>
      </c>
      <c r="C2518" s="1" t="s">
        <v>1271</v>
      </c>
      <c r="D2518" s="1" t="str">
        <f>"1630-2013-EMV"</f>
        <v>1630-2013-EMV</v>
      </c>
      <c r="E2518" s="2"/>
      <c r="F2518" s="1" t="str">
        <f>"0,00"</f>
        <v>0,00</v>
      </c>
      <c r="G2518" s="1" t="str">
        <f>CONCATENATE("05.02.2015.",CHAR(10),"15.02.2015")</f>
        <v>05.02.2015.
15.02.2015</v>
      </c>
      <c r="H2518" s="1" t="str">
        <f>CONCATENATE("ELEKTROCENTAR PETEK D.O.O., IVANIĆ-GRAD")</f>
        <v>ELEKTROCENTAR PETEK D.O.O., IVANIĆ-GRAD</v>
      </c>
      <c r="I2518" s="2"/>
      <c r="J2518" s="1"/>
      <c r="K2518" s="2"/>
    </row>
    <row r="2519" spans="1:11" ht="47.25" x14ac:dyDescent="0.25">
      <c r="A2519" s="1" t="str">
        <f>"88/2015"</f>
        <v>88/2015</v>
      </c>
      <c r="B2519" s="1" t="s">
        <v>14</v>
      </c>
      <c r="C2519" s="1" t="s">
        <v>1272</v>
      </c>
      <c r="D2519" s="1" t="str">
        <f>CONCATENATE("1606-2014-EMV",CHAR(10),"2014/S 002-0048261 od 21.10.2014.")</f>
        <v>1606-2014-EMV
2014/S 002-0048261 od 21.10.2014.</v>
      </c>
      <c r="E2519" s="1" t="s">
        <v>15</v>
      </c>
      <c r="F2519" s="1" t="str">
        <f>"240.000,00"</f>
        <v>240.000,00</v>
      </c>
      <c r="G2519" s="1" t="str">
        <f>CONCATENATE("10.02.2015.",CHAR(10),"5 mjeseci od dana obostranog potpisa Ugovora")</f>
        <v>10.02.2015.
5 mjeseci od dana obostranog potpisa Ugovora</v>
      </c>
      <c r="H2519" s="1" t="str">
        <f>CONCATENATE("DARH 2 D.O.O., SAMOBOR")</f>
        <v>DARH 2 D.O.O., SAMOBOR</v>
      </c>
      <c r="I2519" s="2"/>
      <c r="J2519" s="1"/>
      <c r="K2519" s="2"/>
    </row>
    <row r="2520" spans="1:11" ht="78.75" x14ac:dyDescent="0.25">
      <c r="A2520" s="1" t="str">
        <f>"89/2015"</f>
        <v>89/2015</v>
      </c>
      <c r="B2520" s="1" t="s">
        <v>14</v>
      </c>
      <c r="C2520" s="1" t="s">
        <v>1273</v>
      </c>
      <c r="D2520" s="1" t="str">
        <f>CONCATENATE("1462-2014-EMV",CHAR(10),"2014/S 002-0047017 od 14.10.2014 i ispravak 2014/S 014-0049967 od 30.10.2014.")</f>
        <v>1462-2014-EMV
2014/S 002-0047017 od 14.10.2014 i ispravak 2014/S 014-0049967 od 30.10.2014.</v>
      </c>
      <c r="E2520" s="1" t="s">
        <v>15</v>
      </c>
      <c r="F2520" s="1" t="str">
        <f>"136.200,00"</f>
        <v>136.200,00</v>
      </c>
      <c r="G2520" s="1" t="str">
        <f>CONCATENATE("10.02.2015.",CHAR(10),"60 dana od dana obostranog potpisa Ugovora")</f>
        <v>10.02.2015.
60 dana od dana obostranog potpisa Ugovora</v>
      </c>
      <c r="H2520" s="1" t="str">
        <f>CONCATENATE("TEH-PROJEKT INŽENJERING D.O.O., RIJEKA")</f>
        <v>TEH-PROJEKT INŽENJERING D.O.O., RIJEKA</v>
      </c>
      <c r="I2520" s="1" t="s">
        <v>1274</v>
      </c>
      <c r="J2520" s="1" t="str">
        <f>SUBSTITUTE(SUBSTITUTE(SUBSTITUTE("170,250.00",".","-"),",","."),"-",",")</f>
        <v>170.250,00</v>
      </c>
      <c r="K2520" s="2"/>
    </row>
    <row r="2521" spans="1:11" ht="78.75" x14ac:dyDescent="0.25">
      <c r="A2521" s="1" t="str">
        <f>"90/2015"</f>
        <v>90/2015</v>
      </c>
      <c r="B2521" s="1" t="s">
        <v>14</v>
      </c>
      <c r="C2521" s="1" t="s">
        <v>1275</v>
      </c>
      <c r="D2521" s="1" t="str">
        <f>CONCATENATE("1462-2014-EMV",CHAR(10),"2014/S 002-0047017 od 14.10.2014 i ispravak 2014/S 014-0049967 od 30.10.2014.")</f>
        <v>1462-2014-EMV
2014/S 002-0047017 od 14.10.2014 i ispravak 2014/S 014-0049967 od 30.10.2014.</v>
      </c>
      <c r="E2521" s="1" t="s">
        <v>15</v>
      </c>
      <c r="F2521" s="1" t="str">
        <f>"36.270,00"</f>
        <v>36.270,00</v>
      </c>
      <c r="G2521" s="1" t="str">
        <f>CONCATENATE("10.02.2015.",CHAR(10),"60 dana od dana obostranog potpisa Ugovora")</f>
        <v>10.02.2015.
60 dana od dana obostranog potpisa Ugovora</v>
      </c>
      <c r="H2521" s="1" t="str">
        <f>CONCATENATE("INKOP OBUĆA D.O.O., POZNANOVEC")</f>
        <v>INKOP OBUĆA D.O.O., POZNANOVEC</v>
      </c>
      <c r="I2521" s="1" t="s">
        <v>1276</v>
      </c>
      <c r="J2521" s="1" t="str">
        <f>SUBSTITUTE(SUBSTITUTE(SUBSTITUTE("45,337.50",".","-"),",","."),"-",",")</f>
        <v>45.337,50</v>
      </c>
      <c r="K2521" s="2"/>
    </row>
    <row r="2522" spans="1:11" ht="47.25" x14ac:dyDescent="0.25">
      <c r="A2522" s="1" t="str">
        <f>"91/2015"</f>
        <v>91/2015</v>
      </c>
      <c r="B2522" s="1" t="s">
        <v>26</v>
      </c>
      <c r="C2522" s="1" t="s">
        <v>1277</v>
      </c>
      <c r="D2522" s="1" t="str">
        <f>"2014-215"</f>
        <v>2014-215</v>
      </c>
      <c r="E2522" s="2"/>
      <c r="F2522" s="1" t="str">
        <f>"119.740,00"</f>
        <v>119.740,00</v>
      </c>
      <c r="G2522" s="1" t="str">
        <f>CONCATENATE("10.02.2015.",CHAR(10),"31.3.2015")</f>
        <v>10.02.2015.
31.3.2015</v>
      </c>
      <c r="H2522" s="1" t="str">
        <f>CONCATENATE("VODOSKOK D.D., ZAGREB")</f>
        <v>VODOSKOK D.D., ZAGREB</v>
      </c>
      <c r="I2522" s="1" t="s">
        <v>1193</v>
      </c>
      <c r="J2522" s="1" t="str">
        <f>SUBSTITUTE(SUBSTITUTE(SUBSTITUTE("145,812.50",".","-"),",","."),"-",",")</f>
        <v>145.812,50</v>
      </c>
      <c r="K2522" s="1" t="s">
        <v>607</v>
      </c>
    </row>
    <row r="2523" spans="1:11" ht="31.5" x14ac:dyDescent="0.25">
      <c r="A2523" s="1" t="str">
        <f>"A-16/2015"</f>
        <v>A-16/2015</v>
      </c>
      <c r="B2523" s="1" t="s">
        <v>11</v>
      </c>
      <c r="C2523" s="1" t="s">
        <v>1278</v>
      </c>
      <c r="D2523" s="1" t="str">
        <f>"296-2014-EMV"</f>
        <v>296-2014-EMV</v>
      </c>
      <c r="E2523" s="2"/>
      <c r="F2523" s="1" t="str">
        <f>"0,00"</f>
        <v>0,00</v>
      </c>
      <c r="G2523" s="1" t="str">
        <f>"13.02.2015."</f>
        <v>13.02.2015.</v>
      </c>
      <c r="H2523" s="1" t="str">
        <f>CONCATENATE("EUROPAN HRVATSKA, ZAGREB")</f>
        <v>EUROPAN HRVATSKA, ZAGREB</v>
      </c>
      <c r="I2523" s="2"/>
      <c r="J2523" s="1"/>
      <c r="K2523" s="2"/>
    </row>
    <row r="2524" spans="1:11" ht="94.5" x14ac:dyDescent="0.25">
      <c r="A2524" s="1" t="str">
        <f>"94/2015"</f>
        <v>94/2015</v>
      </c>
      <c r="B2524" s="1" t="s">
        <v>26</v>
      </c>
      <c r="C2524" s="1" t="s">
        <v>1279</v>
      </c>
      <c r="D2524" s="1" t="str">
        <f>"24-2014-EVV"</f>
        <v>24-2014-EVV</v>
      </c>
      <c r="E2524" s="2"/>
      <c r="F2524" s="1" t="str">
        <f>"86.725,00"</f>
        <v>86.725,00</v>
      </c>
      <c r="G2524" s="1" t="str">
        <f>CONCATENATE("13.02.2015.",CHAR(10),"12 mjeseci od dana obostranog potpisa Ugovora")</f>
        <v>13.02.2015.
12 mjeseci od dana obostranog potpisa Ugovora</v>
      </c>
      <c r="H2524" s="1" t="str">
        <f>CONCATENATE("1. Zajednica ponuditelja: ",CHAR(10),"    EKO-DERATIZACIJA D.O.O., ZAGREB",CHAR(10),"    EKOTOURS D.O.O., ZAGREB",CHAR(10),"    ADRIA GRUPA D.O.O., ZAGREB")</f>
        <v>1. Zajednica ponuditelja: 
    EKO-DERATIZACIJA D.O.O., ZAGREB
    EKOTOURS D.O.O., ZAGREB
    ADRIA GRUPA D.O.O., ZAGREB</v>
      </c>
      <c r="I2524" s="2"/>
      <c r="J2524" s="1"/>
      <c r="K2524" s="2"/>
    </row>
    <row r="2525" spans="1:11" ht="47.25" x14ac:dyDescent="0.25">
      <c r="A2525" s="1" t="str">
        <f>"95/2015"</f>
        <v>95/2015</v>
      </c>
      <c r="B2525" s="1" t="s">
        <v>14</v>
      </c>
      <c r="C2525" s="1" t="s">
        <v>1280</v>
      </c>
      <c r="D2525" s="1" t="str">
        <f>CONCATENATE("2755-2014-EMV",CHAR(10),"2015/S 015-0005271 od 10.02.2015.")</f>
        <v>2755-2014-EMV
2015/S 015-0005271 od 10.02.2015.</v>
      </c>
      <c r="E2525" s="1" t="s">
        <v>12</v>
      </c>
      <c r="F2525" s="1" t="str">
        <f>"595.984,37"</f>
        <v>595.984,37</v>
      </c>
      <c r="G2525" s="1" t="str">
        <f>CONCATENATE("16.02.2015.",CHAR(10),"1 mjesec računajući od dana uvođenja u posao")</f>
        <v>16.02.2015.
1 mjesec računajući od dana uvođenja u posao</v>
      </c>
      <c r="H2525" s="1" t="str">
        <f>CONCATENATE("M. SOLDO D.O.O., ZAGREB")</f>
        <v>M. SOLDO D.O.O., ZAGREB</v>
      </c>
      <c r="I2525" s="2"/>
      <c r="J2525" s="1"/>
      <c r="K2525" s="2"/>
    </row>
    <row r="2526" spans="1:11" ht="78.75" x14ac:dyDescent="0.25">
      <c r="A2526" s="1" t="str">
        <f>"96/2015"</f>
        <v>96/2015</v>
      </c>
      <c r="B2526" s="1" t="s">
        <v>136</v>
      </c>
      <c r="C2526" s="1" t="s">
        <v>1281</v>
      </c>
      <c r="D2526" s="1" t="str">
        <f>CONCATENATE("2014-2702",CHAR(10),"2014/S 002-0054493 od 26.11.2014.")</f>
        <v>2014-2702
2014/S 002-0054493 od 26.11.2014.</v>
      </c>
      <c r="E2526" s="1" t="s">
        <v>366</v>
      </c>
      <c r="F2526" s="1" t="str">
        <f>"3.167.977,00"</f>
        <v>3.167.977,00</v>
      </c>
      <c r="G2526" s="1" t="str">
        <f>CONCATENATE("16.02.2015.",CHAR(10),"2 godine")</f>
        <v>16.02.2015.
2 godine</v>
      </c>
      <c r="H2526" s="1" t="str">
        <f>CONCATENATE("UNIVERZAL ŽICA D.O.O., ZAGREB",CHAR(10),"ZELINA PROMET D.O.O., DONJA ZELINA",CHAR(10),"SMIT COMMERCE D.O.O., GORNJI STUPNIK")</f>
        <v>UNIVERZAL ŽICA D.O.O., ZAGREB
ZELINA PROMET D.O.O., DONJA ZELINA
SMIT COMMERCE D.O.O., GORNJI STUPNIK</v>
      </c>
      <c r="I2526" s="2"/>
      <c r="J2526" s="1"/>
      <c r="K2526" s="1" t="s">
        <v>607</v>
      </c>
    </row>
    <row r="2527" spans="1:11" ht="63" x14ac:dyDescent="0.25">
      <c r="A2527" s="1" t="str">
        <f>"A-17/2015"</f>
        <v>A-17/2015</v>
      </c>
      <c r="B2527" s="1" t="s">
        <v>11</v>
      </c>
      <c r="C2527" s="1" t="s">
        <v>1282</v>
      </c>
      <c r="D2527" s="1" t="str">
        <f>"2789-2013-EVV"</f>
        <v>2789-2013-EVV</v>
      </c>
      <c r="E2527" s="2"/>
      <c r="F2527" s="1" t="str">
        <f>"0,00"</f>
        <v>0,00</v>
      </c>
      <c r="G2527" s="1" t="str">
        <f>CONCATENATE("16.02.2015.",CHAR(10),"16.03.2015")</f>
        <v>16.02.2015.
16.03.2015</v>
      </c>
      <c r="H2527" s="1" t="str">
        <f>CONCATENATE("PRONING-DHI, ZAGREB")</f>
        <v>PRONING-DHI, ZAGREB</v>
      </c>
      <c r="I2527" s="2"/>
      <c r="J2527" s="1"/>
      <c r="K2527" s="2"/>
    </row>
    <row r="2528" spans="1:11" ht="78.75" x14ac:dyDescent="0.25">
      <c r="A2528" s="1" t="str">
        <f>"97/2015"</f>
        <v>97/2015</v>
      </c>
      <c r="B2528" s="1" t="s">
        <v>26</v>
      </c>
      <c r="C2528" s="1" t="s">
        <v>1283</v>
      </c>
      <c r="D2528" s="1" t="str">
        <f>"24-2014-EVV"</f>
        <v>24-2014-EVV</v>
      </c>
      <c r="E2528" s="2"/>
      <c r="F2528" s="1" t="str">
        <f>"681.707,75"</f>
        <v>681.707,75</v>
      </c>
      <c r="G2528" s="1" t="str">
        <f>CONCATENATE("17.02.2015.",CHAR(10),"7 tjedana od dana obostranog potpisa Ugovora")</f>
        <v>17.02.2015.
7 tjedana od dana obostranog potpisa Ugovora</v>
      </c>
      <c r="H2528" s="1" t="str">
        <f>CONCATENATE("EKO-DERATIZACIJA D.O.O., ZAGREB")</f>
        <v>EKO-DERATIZACIJA D.O.O., ZAGREB</v>
      </c>
      <c r="I2528" s="2"/>
      <c r="J2528" s="1"/>
      <c r="K2528" s="2"/>
    </row>
    <row r="2529" spans="1:11" ht="94.5" x14ac:dyDescent="0.25">
      <c r="A2529" s="1" t="str">
        <f>"A-18/2015"</f>
        <v>A-18/2015</v>
      </c>
      <c r="B2529" s="1" t="s">
        <v>11</v>
      </c>
      <c r="C2529" s="1" t="s">
        <v>1284</v>
      </c>
      <c r="D2529" s="1" t="str">
        <f>"2239-2013-EMV"</f>
        <v>2239-2013-EMV</v>
      </c>
      <c r="E2529" s="2"/>
      <c r="F2529" s="1" t="str">
        <f>"0,00"</f>
        <v>0,00</v>
      </c>
      <c r="G2529" s="1" t="str">
        <f>CONCATENATE("08.01.2015.",CHAR(10),"do sklapanja novog Ugovora")</f>
        <v>08.01.2015.
do sklapanja novog Ugovora</v>
      </c>
      <c r="H2529" s="1" t="str">
        <f>CONCATENATE("1. Zajednica ponuditelja: ",CHAR(10),"    VERIDON D.O.O., ZAGREB-SUSEDGRAD",CHAR(10),"    AREA ARTE D.O.O., ZAGREB",CHAR(10),"    GRAĐEVINSKI RADOVI D.O.O., ZAGREB")</f>
        <v>1. Zajednica ponuditelja: 
    VERIDON D.O.O., ZAGREB-SUSEDGRAD
    AREA ARTE D.O.O., ZAGREB
    GRAĐEVINSKI RADOVI D.O.O., ZAGREB</v>
      </c>
      <c r="I2529" s="2"/>
      <c r="J2529" s="1"/>
      <c r="K2529" s="2"/>
    </row>
    <row r="2530" spans="1:11" ht="63" x14ac:dyDescent="0.25">
      <c r="A2530" s="1" t="str">
        <f>"98/2015"</f>
        <v>98/2015</v>
      </c>
      <c r="B2530" s="1" t="s">
        <v>14</v>
      </c>
      <c r="C2530" s="1" t="s">
        <v>1285</v>
      </c>
      <c r="D2530" s="1" t="str">
        <f>CONCATENATE("2043-2014-EBV",CHAR(10),"2015/S 015-0004179 od 03.02.2015.")</f>
        <v>2043-2014-EBV
2015/S 015-0004179 od 03.02.2015.</v>
      </c>
      <c r="E2530" s="1" t="s">
        <v>12</v>
      </c>
      <c r="F2530" s="1" t="str">
        <f>"34.332,64"</f>
        <v>34.332,64</v>
      </c>
      <c r="G2530" s="1" t="str">
        <f>CONCATENATE("17.02.2015.",CHAR(10),"30 dana od dana uvođenja u posao")</f>
        <v>17.02.2015.
30 dana od dana uvođenja u posao</v>
      </c>
      <c r="H2530" s="1" t="str">
        <f>CONCATENATE("SIGNALIZACIJA D.O.O., ZAGREB")</f>
        <v>SIGNALIZACIJA D.O.O., ZAGREB</v>
      </c>
      <c r="I2530" s="2"/>
      <c r="J2530" s="1"/>
      <c r="K2530" s="2"/>
    </row>
    <row r="2531" spans="1:11" ht="47.25" x14ac:dyDescent="0.25">
      <c r="A2531" s="1" t="str">
        <f>"99/2015"</f>
        <v>99/2015</v>
      </c>
      <c r="B2531" s="1" t="s">
        <v>14</v>
      </c>
      <c r="C2531" s="1" t="s">
        <v>1286</v>
      </c>
      <c r="D2531" s="1" t="str">
        <f>CONCATENATE("3115-2014-EMV",CHAR(10),"2014/S 002-0050720 od 05.11.2014.")</f>
        <v>3115-2014-EMV
2014/S 002-0050720 od 05.11.2014.</v>
      </c>
      <c r="E2531" s="1" t="s">
        <v>15</v>
      </c>
      <c r="F2531" s="1" t="str">
        <f>"620.752,90"</f>
        <v>620.752,90</v>
      </c>
      <c r="G2531" s="1" t="str">
        <f>CONCATENATE("17.02.2015.",CHAR(10),"60 dana od dana uvođenja u posao")</f>
        <v>17.02.2015.
60 dana od dana uvođenja u posao</v>
      </c>
      <c r="H2531" s="1" t="str">
        <f>CONCATENATE("KUSTOŠIJA GRAĐENJE D.O.O., ZAGREB")</f>
        <v>KUSTOŠIJA GRAĐENJE D.O.O., ZAGREB</v>
      </c>
      <c r="I2531" s="2"/>
      <c r="J2531" s="1"/>
      <c r="K2531" s="2"/>
    </row>
    <row r="2532" spans="1:11" ht="78.75" x14ac:dyDescent="0.25">
      <c r="A2532" s="1" t="str">
        <f>"100/2015"</f>
        <v>100/2015</v>
      </c>
      <c r="B2532" s="1" t="s">
        <v>26</v>
      </c>
      <c r="C2532" s="1" t="s">
        <v>1287</v>
      </c>
      <c r="D2532" s="1" t="str">
        <f>"24-2014-EVV"</f>
        <v>24-2014-EVV</v>
      </c>
      <c r="E2532" s="2"/>
      <c r="F2532" s="1" t="str">
        <f>"9.000,00"</f>
        <v>9.000,00</v>
      </c>
      <c r="G2532" s="1" t="str">
        <f>CONCATENATE("26.01.2015.",CHAR(10),"31.1.2015")</f>
        <v>26.01.2015.
31.1.2015</v>
      </c>
      <c r="H2532" s="1" t="str">
        <f>CONCATENATE("1. Zajednica ponuditelja: ",CHAR(10),"    EKO-DERATIZACIJA D.O.O., ZAGREB",CHAR(10),"    EKOTOURS D.O.O., ZAGREB",CHAR(10),"    ADRIA GRUPA D.O.O., ZAGREB")</f>
        <v>1. Zajednica ponuditelja: 
    EKO-DERATIZACIJA D.O.O., ZAGREB
    EKOTOURS D.O.O., ZAGREB
    ADRIA GRUPA D.O.O., ZAGREB</v>
      </c>
      <c r="I2532" s="1" t="s">
        <v>1288</v>
      </c>
      <c r="J2532" s="1" t="str">
        <f>SUBSTITUTE(SUBSTITUTE(SUBSTITUTE("11,250.00",".","-"),",","."),"-",",")</f>
        <v>11.250,00</v>
      </c>
      <c r="K2532" s="2"/>
    </row>
    <row r="2533" spans="1:11" ht="47.25" x14ac:dyDescent="0.25">
      <c r="A2533" s="1" t="str">
        <f>"101/2015"</f>
        <v>101/2015</v>
      </c>
      <c r="B2533" s="1" t="s">
        <v>14</v>
      </c>
      <c r="C2533" s="1" t="s">
        <v>1289</v>
      </c>
      <c r="D2533" s="1" t="str">
        <f>CONCATENATE("237-2014-EMV",CHAR(10),"2014/S 002-0054424 od 26.11.2014.")</f>
        <v>237-2014-EMV
2014/S 002-0054424 od 26.11.2014.</v>
      </c>
      <c r="E2533" s="1" t="s">
        <v>15</v>
      </c>
      <c r="F2533" s="1" t="str">
        <f>"412.760,00"</f>
        <v>412.760,00</v>
      </c>
      <c r="G2533" s="1" t="str">
        <f>CONCATENATE("16.02.2015.",CHAR(10),"12 mjeseci od dana obostranog potpisa Ugovora")</f>
        <v>16.02.2015.
12 mjeseci od dana obostranog potpisa Ugovora</v>
      </c>
      <c r="H2533" s="1" t="str">
        <f>CONCATENATE("MULTISOFT D.O.O., ZAGREB")</f>
        <v>MULTISOFT D.O.O., ZAGREB</v>
      </c>
      <c r="I2533" s="2"/>
      <c r="J2533" s="1"/>
      <c r="K2533" s="2"/>
    </row>
    <row r="2534" spans="1:11" ht="47.25" x14ac:dyDescent="0.25">
      <c r="A2534" s="1" t="str">
        <f>"102/2015"</f>
        <v>102/2015</v>
      </c>
      <c r="B2534" s="1" t="s">
        <v>14</v>
      </c>
      <c r="C2534" s="1" t="s">
        <v>1290</v>
      </c>
      <c r="D2534" s="1" t="str">
        <f>CONCATENATE("2959-2014-EMV",CHAR(10),"2014/S 002-0050819 od 05.11.2014.")</f>
        <v>2959-2014-EMV
2014/S 002-0050819 od 05.11.2014.</v>
      </c>
      <c r="E2534" s="1" t="s">
        <v>15</v>
      </c>
      <c r="F2534" s="1" t="str">
        <f>"264.000,00"</f>
        <v>264.000,00</v>
      </c>
      <c r="G2534" s="1" t="str">
        <f>CONCATENATE("16.02.2015.",CHAR(10),"60 dana od dana obostranog potpisa Ugovora")</f>
        <v>16.02.2015.
60 dana od dana obostranog potpisa Ugovora</v>
      </c>
      <c r="H2534" s="1" t="str">
        <f>CONCATENATE("INDUSTROOPREMA D.O.O, ZAGREB")</f>
        <v>INDUSTROOPREMA D.O.O, ZAGREB</v>
      </c>
      <c r="I2534" s="2"/>
      <c r="J2534" s="1"/>
      <c r="K2534" s="2"/>
    </row>
    <row r="2535" spans="1:11" ht="78.75" x14ac:dyDescent="0.25">
      <c r="A2535" s="1" t="str">
        <f>"103/2015"</f>
        <v>103/2015</v>
      </c>
      <c r="B2535" s="1" t="s">
        <v>136</v>
      </c>
      <c r="C2535" s="1" t="s">
        <v>1291</v>
      </c>
      <c r="D2535" s="1" t="str">
        <f>CONCATENATE("Z-2014-9",CHAR(10),"2014/S-002-0029376 od 12.06.2014 i ispravak 2014/S 014-0030744 od 20.06.2014.")</f>
        <v>Z-2014-9
2014/S-002-0029376 od 12.06.2014 i ispravak 2014/S 014-0030744 od 20.06.2014.</v>
      </c>
      <c r="E2535" s="1" t="s">
        <v>366</v>
      </c>
      <c r="F2535" s="1" t="str">
        <f>"40.966.677,83"</f>
        <v>40.966.677,83</v>
      </c>
      <c r="G2535" s="1" t="str">
        <f>CONCATENATE("19.02.2015.",CHAR(10),"2 godine")</f>
        <v>19.02.2015.
2 godine</v>
      </c>
      <c r="H2535" s="1" t="str">
        <f>CONCATENATE("HP-HRVATSKA POŠTA D.D., ZAGREB")</f>
        <v>HP-HRVATSKA POŠTA D.D., ZAGREB</v>
      </c>
      <c r="I2535" s="2"/>
      <c r="J2535" s="1"/>
      <c r="K2535" s="1" t="s">
        <v>607</v>
      </c>
    </row>
    <row r="2536" spans="1:11" ht="47.25" x14ac:dyDescent="0.25">
      <c r="A2536" s="1" t="str">
        <f>"A-20/2015"</f>
        <v>A-20/2015</v>
      </c>
      <c r="B2536" s="1" t="s">
        <v>11</v>
      </c>
      <c r="C2536" s="1" t="s">
        <v>1292</v>
      </c>
      <c r="D2536" s="1" t="str">
        <f>"2014-2093"</f>
        <v>2014-2093</v>
      </c>
      <c r="E2536" s="2"/>
      <c r="F2536" s="1" t="str">
        <f>"0,00"</f>
        <v>0,00</v>
      </c>
      <c r="G2536" s="1" t="str">
        <f>"24.02.2015."</f>
        <v>24.02.2015.</v>
      </c>
      <c r="H2536" s="1" t="str">
        <f>CONCATENATE("VODOTEHNIKA D.D., ZAGREB")</f>
        <v>VODOTEHNIKA D.D., ZAGREB</v>
      </c>
      <c r="I2536" s="2"/>
      <c r="J2536" s="1"/>
      <c r="K2536" s="1" t="s">
        <v>607</v>
      </c>
    </row>
    <row r="2537" spans="1:11" ht="47.25" x14ac:dyDescent="0.25">
      <c r="A2537" s="1" t="str">
        <f>"A-21/2015"</f>
        <v>A-21/2015</v>
      </c>
      <c r="B2537" s="1" t="s">
        <v>11</v>
      </c>
      <c r="C2537" s="1" t="s">
        <v>1293</v>
      </c>
      <c r="D2537" s="1" t="str">
        <f>"3002-2014-EVV"</f>
        <v>3002-2014-EVV</v>
      </c>
      <c r="E2537" s="2"/>
      <c r="F2537" s="1" t="str">
        <f>"0,00"</f>
        <v>0,00</v>
      </c>
      <c r="G2537" s="1" t="str">
        <f>CONCATENATE("24.02.2015.",CHAR(10),"6.3.2015")</f>
        <v>24.02.2015.
6.3.2015</v>
      </c>
      <c r="H2537" s="1" t="str">
        <f>CONCATENATE("MEDIAL D.O.O., ZAGREB")</f>
        <v>MEDIAL D.O.O., ZAGREB</v>
      </c>
      <c r="I2537" s="2"/>
      <c r="J2537" s="1"/>
      <c r="K2537" s="2"/>
    </row>
    <row r="2538" spans="1:11" ht="47.25" x14ac:dyDescent="0.25">
      <c r="A2538" s="1" t="str">
        <f>"104/2015"</f>
        <v>104/2015</v>
      </c>
      <c r="B2538" s="1" t="s">
        <v>26</v>
      </c>
      <c r="C2538" s="1" t="s">
        <v>1294</v>
      </c>
      <c r="D2538" s="1" t="str">
        <f>"188-2013-EVV"</f>
        <v>188-2013-EVV</v>
      </c>
      <c r="E2538" s="2"/>
      <c r="F2538" s="1" t="str">
        <f>"932.244,13"</f>
        <v>932.244,13</v>
      </c>
      <c r="G2538" s="1" t="str">
        <f>CONCATENATE("10.02.2015.",CHAR(10),"12 mjeseci od dana obostranog potpisa Ugovora")</f>
        <v>10.02.2015.
12 mjeseci od dana obostranog potpisa Ugovora</v>
      </c>
      <c r="H2538" s="1" t="str">
        <f>CONCATENATE("RAZVITAK CENTAR D.O.O., ZAGREB")</f>
        <v>RAZVITAK CENTAR D.O.O., ZAGREB</v>
      </c>
      <c r="I2538" s="2"/>
      <c r="J2538" s="1"/>
      <c r="K2538" s="2"/>
    </row>
    <row r="2539" spans="1:11" ht="47.25" x14ac:dyDescent="0.25">
      <c r="A2539" s="1" t="str">
        <f>"R-1/2015"</f>
        <v>R-1/2015</v>
      </c>
      <c r="B2539" s="1" t="s">
        <v>56</v>
      </c>
      <c r="C2539" s="1" t="s">
        <v>1295</v>
      </c>
      <c r="D2539" s="1" t="str">
        <f>"1230-2014-EMV"</f>
        <v>1230-2014-EMV</v>
      </c>
      <c r="E2539" s="2"/>
      <c r="F2539" s="1" t="str">
        <f>"0,00"</f>
        <v>0,00</v>
      </c>
      <c r="G2539" s="1" t="str">
        <f>"25.02.2015."</f>
        <v>25.02.2015.</v>
      </c>
      <c r="H2539" s="1" t="str">
        <f>CONCATENATE("MEŠIĆ COM D.O.O., ZAGREB")</f>
        <v>MEŠIĆ COM D.O.O., ZAGREB</v>
      </c>
      <c r="I2539" s="2"/>
      <c r="J2539" s="1"/>
      <c r="K2539" s="2"/>
    </row>
    <row r="2540" spans="1:11" ht="47.25" x14ac:dyDescent="0.25">
      <c r="A2540" s="1" t="str">
        <f>"105/2015"</f>
        <v>105/2015</v>
      </c>
      <c r="B2540" s="1" t="s">
        <v>14</v>
      </c>
      <c r="C2540" s="1" t="s">
        <v>1296</v>
      </c>
      <c r="D2540" s="1" t="str">
        <f>CONCATENATE("2631-2014-EMV",CHAR(10),"2014/S 002-0046666 od 10.10.2014.")</f>
        <v>2631-2014-EMV
2014/S 002-0046666 od 10.10.2014.</v>
      </c>
      <c r="E2540" s="1" t="s">
        <v>15</v>
      </c>
      <c r="F2540" s="1" t="str">
        <f>"392.328,00"</f>
        <v>392.328,00</v>
      </c>
      <c r="G2540" s="1" t="str">
        <f>CONCATENATE("25.02.2015.",CHAR(10),"8 mjeseci od dana uvođenja u posao")</f>
        <v>25.02.2015.
8 mjeseci od dana uvođenja u posao</v>
      </c>
      <c r="H2540" s="1" t="str">
        <f>CONCATENATE("1. Zajednica ponuditelja: ",CHAR(10),"    TA-GRAD D.O.O., ZAGREB",CHAR(10),"    TERRACOTTA D.O.O., ZAGREB")</f>
        <v>1. Zajednica ponuditelja: 
    TA-GRAD D.O.O., ZAGREB
    TERRACOTTA D.O.O., ZAGREB</v>
      </c>
      <c r="I2540" s="2"/>
      <c r="J2540" s="1"/>
      <c r="K2540" s="2"/>
    </row>
    <row r="2541" spans="1:11" ht="31.5" x14ac:dyDescent="0.25">
      <c r="A2541" s="1" t="str">
        <f>"A-22/2015"</f>
        <v>A-22/2015</v>
      </c>
      <c r="B2541" s="1" t="s">
        <v>11</v>
      </c>
      <c r="C2541" s="1" t="s">
        <v>1297</v>
      </c>
      <c r="D2541" s="1" t="str">
        <f>"1439-2014-EMV"</f>
        <v>1439-2014-EMV</v>
      </c>
      <c r="E2541" s="2"/>
      <c r="F2541" s="1" t="str">
        <f>"1.561.800,00"</f>
        <v>1.561.800,00</v>
      </c>
      <c r="G2541" s="1" t="str">
        <f>CONCATENATE("25.02.2015.",CHAR(10),"31.12.2015")</f>
        <v>25.02.2015.
31.12.2015</v>
      </c>
      <c r="H2541" s="1" t="str">
        <f>CONCATENATE("PISMORAD D.D., ZAGREB")</f>
        <v>PISMORAD D.D., ZAGREB</v>
      </c>
      <c r="I2541" s="2"/>
      <c r="J2541" s="1"/>
      <c r="K2541" s="2"/>
    </row>
    <row r="2542" spans="1:11" ht="47.25" x14ac:dyDescent="0.25">
      <c r="A2542" s="1" t="str">
        <f>"106/2015"</f>
        <v>106/2015</v>
      </c>
      <c r="B2542" s="1" t="s">
        <v>14</v>
      </c>
      <c r="C2542" s="1" t="s">
        <v>1298</v>
      </c>
      <c r="D2542" s="1" t="str">
        <f>CONCATENATE("1232-2014-EMV",CHAR(10),"2014/S 002-0026233 od 27.05.2014.")</f>
        <v>1232-2014-EMV
2014/S 002-0026233 od 27.05.2014.</v>
      </c>
      <c r="E2542" s="1" t="s">
        <v>15</v>
      </c>
      <c r="F2542" s="1" t="str">
        <f>"1.124.673,97"</f>
        <v>1.124.673,97</v>
      </c>
      <c r="G2542" s="1" t="str">
        <f>CONCATENATE("26.02.2015.",CHAR(10),"14 mjeseci od dana uvođenja u posao")</f>
        <v>26.02.2015.
14 mjeseci od dana uvođenja u posao</v>
      </c>
      <c r="H2542" s="1" t="str">
        <f>CONCATENATE("1. Zajednica ponuditelja: ",CHAR(10),"    TA-GRAD D.O.O., ZAGREB",CHAR(10),"    TERRACOTTA D.O.O., ZAGREB")</f>
        <v>1. Zajednica ponuditelja: 
    TA-GRAD D.O.O., ZAGREB
    TERRACOTTA D.O.O., ZAGREB</v>
      </c>
      <c r="I2542" s="2"/>
      <c r="J2542" s="1"/>
      <c r="K2542" s="2"/>
    </row>
    <row r="2543" spans="1:11" ht="63" x14ac:dyDescent="0.25">
      <c r="A2543" s="1" t="str">
        <f>"107/2015"</f>
        <v>107/2015</v>
      </c>
      <c r="B2543" s="1" t="s">
        <v>14</v>
      </c>
      <c r="C2543" s="1" t="s">
        <v>1299</v>
      </c>
      <c r="D2543" s="1" t="str">
        <f>CONCATENATE("2511-2014-EMV",CHAR(10),"2014/S 002-0053358 od 19.11.2014.")</f>
        <v>2511-2014-EMV
2014/S 002-0053358 od 19.11.2014.</v>
      </c>
      <c r="E2543" s="1" t="s">
        <v>15</v>
      </c>
      <c r="F2543" s="1" t="str">
        <f>"281.300,00"</f>
        <v>281.300,00</v>
      </c>
      <c r="G2543" s="1" t="str">
        <f>CONCATENATE("02.03.2015.",CHAR(10),"60 dana od dana obostranog potpisa Ugovora")</f>
        <v>02.03.2015.
60 dana od dana obostranog potpisa Ugovora</v>
      </c>
      <c r="H2543" s="1" t="str">
        <f>CONCATENATE("1. Zajednica ponuditelja: ",CHAR(10),"    GEOTEHNIČKI STUDIO D.O.O., ZAGREB-SUSEDGRAD",CHAR(10),"    TAHIMETAR D.O.O., SESVETE")</f>
        <v>1. Zajednica ponuditelja: 
    GEOTEHNIČKI STUDIO D.O.O., ZAGREB-SUSEDGRAD
    TAHIMETAR D.O.O., SESVETE</v>
      </c>
      <c r="I2543" s="2"/>
      <c r="J2543" s="1"/>
      <c r="K2543" s="2"/>
    </row>
    <row r="2544" spans="1:11" ht="78.75" x14ac:dyDescent="0.25">
      <c r="A2544" s="1" t="str">
        <f>"108/2015"</f>
        <v>108/2015</v>
      </c>
      <c r="B2544" s="1" t="s">
        <v>14</v>
      </c>
      <c r="C2544" s="1" t="s">
        <v>1300</v>
      </c>
      <c r="D2544" s="1" t="str">
        <f>CONCATENATE("3073-2014-EMV",CHAR(10),"2014/S 002-0046955 od 13.10.2014. i ispravak 2014/S 014-0049963 od 30.10.2014.")</f>
        <v>3073-2014-EMV
2014/S 002-0046955 od 13.10.2014. i ispravak 2014/S 014-0049963 od 30.10.2014.</v>
      </c>
      <c r="E2544" s="1" t="s">
        <v>15</v>
      </c>
      <c r="F2544" s="1" t="str">
        <f>"412.000,00"</f>
        <v>412.000,00</v>
      </c>
      <c r="G2544" s="1" t="str">
        <f>CONCATENATE("03.03.2015.",CHAR(10),"30 dana od dana obostranog potpisa Ugovora")</f>
        <v>03.03.2015.
30 dana od dana obostranog potpisa Ugovora</v>
      </c>
      <c r="H2544" s="1" t="str">
        <f>CONCATENATE("MEDICAL INTERTRADE D.O.O., SVETA NEDELJA")</f>
        <v>MEDICAL INTERTRADE D.O.O., SVETA NEDELJA</v>
      </c>
      <c r="I2544" s="1" t="s">
        <v>620</v>
      </c>
      <c r="J2544" s="1" t="str">
        <f>SUBSTITUTE(SUBSTITUTE(SUBSTITUTE("515,000.00",".","-"),",","."),"-",",")</f>
        <v>515.000,00</v>
      </c>
      <c r="K2544" s="2"/>
    </row>
    <row r="2545" spans="1:11" ht="78.75" x14ac:dyDescent="0.25">
      <c r="A2545" s="1" t="str">
        <f>"109/2015"</f>
        <v>109/2015</v>
      </c>
      <c r="B2545" s="1" t="s">
        <v>14</v>
      </c>
      <c r="C2545" s="1" t="s">
        <v>1301</v>
      </c>
      <c r="D2545" s="1" t="str">
        <f>CONCATENATE("252-2014-EMV",CHAR(10),"2014/S 002-0054325 od 25.11.2014 i ispravak 2014/S 014- 0057601 od 25.12.2014.")</f>
        <v>252-2014-EMV
2014/S 002-0054325 od 25.11.2014 i ispravak 2014/S 014- 0057601 od 25.12.2014.</v>
      </c>
      <c r="E2545" s="1" t="s">
        <v>15</v>
      </c>
      <c r="F2545" s="1" t="str">
        <f>"640.733,72"</f>
        <v>640.733,72</v>
      </c>
      <c r="G2545" s="1" t="str">
        <f>CONCATENATE("03.03.2015.",CHAR(10),"45 dana od dana uvođenja u posao")</f>
        <v>03.03.2015.
45 dana od dana uvođenja u posao</v>
      </c>
      <c r="H2545" s="1" t="str">
        <f>CONCATENATE("1. Zajednica ponuditelja: ",CHAR(10),"    COMBIS D.O.O., ZAGREB",CHAR(10),"    MARKOJA D.O.O., ZAGREB")</f>
        <v>1. Zajednica ponuditelja: 
    COMBIS D.O.O., ZAGREB
    MARKOJA D.O.O., ZAGREB</v>
      </c>
      <c r="I2545" s="2"/>
      <c r="J2545" s="1"/>
      <c r="K2545" s="2"/>
    </row>
    <row r="2546" spans="1:11" ht="94.5" x14ac:dyDescent="0.25">
      <c r="A2546" s="1" t="str">
        <f>"110/2015"</f>
        <v>110/2015</v>
      </c>
      <c r="B2546" s="1" t="s">
        <v>14</v>
      </c>
      <c r="C2546" s="1" t="s">
        <v>1302</v>
      </c>
      <c r="D2546" s="1" t="str">
        <f>CONCATENATE("2740-2014-EMV",CHAR(10),"2014/S 002-0050770 od 05.11.2014.")</f>
        <v>2740-2014-EMV
2014/S 002-0050770 od 05.11.2014.</v>
      </c>
      <c r="E2546" s="1" t="s">
        <v>15</v>
      </c>
      <c r="F2546" s="1" t="str">
        <f>"197.750,00"</f>
        <v>197.750,00</v>
      </c>
      <c r="G2546" s="1" t="str">
        <f>CONCATENATE("03.03.2015.",CHAR(10),"ukupno 75 dana od dana uvođenja u posao")</f>
        <v>03.03.2015.
ukupno 75 dana od dana uvođenja u posao</v>
      </c>
      <c r="H2546" s="1" t="str">
        <f>CONCATENATE("1. Zajednica ponuditelja: ",CHAR(10),"    SVEUČILIŠTE U ZAGREBU - GRAĐEVINSKI FAKULTET, ZAGREB",CHAR(10),"    ARHITEKTONSKI FAKULTET SVEUČILIŠTA U ZAGREBU, ZAGREB",CHAR(10),"    GEODETIKA D.O.O., ZAGREB")</f>
        <v>1. Zajednica ponuditelja: 
    SVEUČILIŠTE U ZAGREBU - GRAĐEVINSKI FAKULTET, ZAGREB
    ARHITEKTONSKI FAKULTET SVEUČILIŠTA U ZAGREBU, ZAGREB
    GEODETIKA D.O.O., ZAGREB</v>
      </c>
      <c r="I2546" s="2"/>
      <c r="J2546" s="1"/>
      <c r="K2546" s="2"/>
    </row>
    <row r="2547" spans="1:11" ht="47.25" x14ac:dyDescent="0.25">
      <c r="A2547" s="1" t="str">
        <f>"111/2015"</f>
        <v>111/2015</v>
      </c>
      <c r="B2547" s="1" t="s">
        <v>14</v>
      </c>
      <c r="C2547" s="1" t="s">
        <v>1303</v>
      </c>
      <c r="D2547" s="1" t="str">
        <f>CONCATENATE("2014-2147",CHAR(10),"2014/S 002-0058944 od 23.12.2014.")</f>
        <v>2014-2147
2014/S 002-0058944 od 23.12.2014.</v>
      </c>
      <c r="E2547" s="1" t="s">
        <v>15</v>
      </c>
      <c r="F2547" s="1" t="str">
        <f>"686.222,00"</f>
        <v>686.222,00</v>
      </c>
      <c r="G2547" s="1" t="str">
        <f>CONCATENATE("03.03.2015.",CHAR(10),"150 dana od dana uvođenja u posao")</f>
        <v>03.03.2015.
150 dana od dana uvođenja u posao</v>
      </c>
      <c r="H2547" s="1" t="str">
        <f>CONCATENATE("M. SOLDO D.O.O., ZAGREB")</f>
        <v>M. SOLDO D.O.O., ZAGREB</v>
      </c>
      <c r="I2547" s="2"/>
      <c r="J2547" s="1"/>
      <c r="K2547" s="1" t="s">
        <v>607</v>
      </c>
    </row>
    <row r="2548" spans="1:11" ht="78.75" x14ac:dyDescent="0.25">
      <c r="A2548" s="1" t="str">
        <f>"113/2015"</f>
        <v>113/2015</v>
      </c>
      <c r="B2548" s="1" t="s">
        <v>14</v>
      </c>
      <c r="C2548" s="1" t="s">
        <v>1304</v>
      </c>
      <c r="D2548" s="1" t="str">
        <f>CONCATENATE("46-2014-EMV",CHAR(10),"2014/S 002-0057923 od 17.12.2014 i isravak 2015/S 014-0000308 od 08.01.2015.")</f>
        <v>46-2014-EMV
2014/S 002-0057923 od 17.12.2014 i isravak 2015/S 014-0000308 od 08.01.2015.</v>
      </c>
      <c r="E2548" s="1" t="s">
        <v>15</v>
      </c>
      <c r="F2548" s="1" t="str">
        <f>"151.632,00"</f>
        <v>151.632,00</v>
      </c>
      <c r="G2548" s="1" t="str">
        <f>CONCATENATE("03.03.2015.",CHAR(10),"12 mjeseci od dana obostranog potpisa Ugovora")</f>
        <v>03.03.2015.
12 mjeseci od dana obostranog potpisa Ugovora</v>
      </c>
      <c r="H2548" s="1" t="str">
        <f>CONCATENATE("URIHO - USTANOVA ZA PROFESIONALNU REHABILITACIJU I ZAPOŠLJAVANJE OSOBA S INVALIDITETOM, ZAGREB")</f>
        <v>URIHO - USTANOVA ZA PROFESIONALNU REHABILITACIJU I ZAPOŠLJAVANJE OSOBA S INVALIDITETOM, ZAGREB</v>
      </c>
      <c r="I2548" s="2"/>
      <c r="J2548" s="1"/>
      <c r="K2548" s="2"/>
    </row>
    <row r="2549" spans="1:11" ht="94.5" x14ac:dyDescent="0.25">
      <c r="A2549" s="1" t="str">
        <f>"114/2015"</f>
        <v>114/2015</v>
      </c>
      <c r="B2549" s="1" t="s">
        <v>14</v>
      </c>
      <c r="C2549" s="1" t="s">
        <v>1305</v>
      </c>
      <c r="D2549" s="1" t="str">
        <f>CONCATENATE("3529-2014-EMV",CHAR(10),"2014/S 002-0056885 od 10.12.2014.")</f>
        <v>3529-2014-EMV
2014/S 002-0056885 od 10.12.2014.</v>
      </c>
      <c r="E2549" s="1" t="s">
        <v>15</v>
      </c>
      <c r="F2549" s="1" t="str">
        <f>"799.445,00"</f>
        <v>799.445,00</v>
      </c>
      <c r="G2549" s="1" t="str">
        <f>CONCATENATE("09.03.2015.",CHAR(10),"12 mjeseci od dana obostranog potpisa Ugovora")</f>
        <v>09.03.2015.
12 mjeseci od dana obostranog potpisa Ugovora</v>
      </c>
      <c r="H2549" s="1" t="str">
        <f>CONCATENATE("1. Zajednica ponuditelja: ",CHAR(10),"    GEOTEHNIČKI STUDIO D.O.O., ZAGREB-SUSEDGRAD",CHAR(10),"    INSTITUT IGH D.D., ZAGREB",CHAR(10),"    GEOKON - ZAGREB D.D., ZAGREB",CHAR(10),"    TAHIMETAR D.O.O., SESVETE")</f>
        <v>1. Zajednica ponuditelja: 
    GEOTEHNIČKI STUDIO D.O.O., ZAGREB-SUSEDGRAD
    INSTITUT IGH D.D., ZAGREB
    GEOKON - ZAGREB D.D., ZAGREB
    TAHIMETAR D.O.O., SESVETE</v>
      </c>
      <c r="I2549" s="2"/>
      <c r="J2549" s="1"/>
      <c r="K2549" s="2"/>
    </row>
    <row r="2550" spans="1:11" ht="78.75" x14ac:dyDescent="0.25">
      <c r="A2550" s="1" t="str">
        <f>"A-23/2015"</f>
        <v>A-23/2015</v>
      </c>
      <c r="B2550" s="1" t="s">
        <v>11</v>
      </c>
      <c r="C2550" s="1" t="s">
        <v>1306</v>
      </c>
      <c r="D2550" s="1" t="str">
        <f>"749-2012-EMV"</f>
        <v>749-2012-EMV</v>
      </c>
      <c r="E2550" s="2"/>
      <c r="F2550" s="1" t="str">
        <f>"0,00"</f>
        <v>0,00</v>
      </c>
      <c r="G2550" s="1" t="str">
        <f>CONCATENATE("09.03.2015.",CHAR(10),"25.06.2015")</f>
        <v>09.03.2015.
25.06.2015</v>
      </c>
      <c r="H2550" s="1" t="str">
        <f>CONCATENATE("1. Zajednica ponuditelja: ",CHAR(10),"    GRADNJAPROJEKT- ZAGREB D.O.O., ZAGREB",CHAR(10),"    LJEVAONICA UMJETNINA ALU D.O.O., ZAGREB")</f>
        <v>1. Zajednica ponuditelja: 
    GRADNJAPROJEKT- ZAGREB D.O.O., ZAGREB
    LJEVAONICA UMJETNINA ALU D.O.O., ZAGREB</v>
      </c>
      <c r="I2550" s="2"/>
      <c r="J2550" s="1"/>
      <c r="K2550" s="2"/>
    </row>
    <row r="2551" spans="1:11" ht="63" x14ac:dyDescent="0.25">
      <c r="A2551" s="1" t="str">
        <f>"A-24/2015"</f>
        <v>A-24/2015</v>
      </c>
      <c r="B2551" s="1" t="s">
        <v>11</v>
      </c>
      <c r="C2551" s="1" t="s">
        <v>1307</v>
      </c>
      <c r="D2551" s="1" t="str">
        <f>"1322-2014-EMV"</f>
        <v>1322-2014-EMV</v>
      </c>
      <c r="E2551" s="2"/>
      <c r="F2551" s="1" t="str">
        <f>"1.386.630,58"</f>
        <v>1.386.630,58</v>
      </c>
      <c r="G2551" s="1" t="str">
        <f>"09.03.2015."</f>
        <v>09.03.2015.</v>
      </c>
      <c r="H2551" s="1" t="str">
        <f>CONCATENATE("PUGAR D.O.O., VELIKA GORICA")</f>
        <v>PUGAR D.O.O., VELIKA GORICA</v>
      </c>
      <c r="I2551" s="2"/>
      <c r="J2551" s="1"/>
      <c r="K2551" s="2"/>
    </row>
    <row r="2552" spans="1:11" ht="47.25" x14ac:dyDescent="0.25">
      <c r="A2552" s="1" t="str">
        <f>"115/2015"</f>
        <v>115/2015</v>
      </c>
      <c r="B2552" s="1" t="s">
        <v>14</v>
      </c>
      <c r="C2552" s="1" t="s">
        <v>1308</v>
      </c>
      <c r="D2552" s="1" t="str">
        <f>CONCATENATE("3458-2014-EMV",CHAR(10),"2014/S 002-0054595 od 27.11.2014.")</f>
        <v>3458-2014-EMV
2014/S 002-0054595 od 27.11.2014.</v>
      </c>
      <c r="E2552" s="1" t="s">
        <v>15</v>
      </c>
      <c r="F2552" s="1" t="str">
        <f>"340.868,20"</f>
        <v>340.868,20</v>
      </c>
      <c r="G2552" s="1" t="str">
        <f>CONCATENATE("10.03.2015.",CHAR(10),"45 dana od dana uvođenja u posao")</f>
        <v>10.03.2015.
45 dana od dana uvođenja u posao</v>
      </c>
      <c r="H2552" s="1" t="str">
        <f>CONCATENATE("PRIGORAC-GRAĐENJE D.O.O., SESVETE")</f>
        <v>PRIGORAC-GRAĐENJE D.O.O., SESVETE</v>
      </c>
      <c r="I2552" s="2"/>
      <c r="J2552" s="1"/>
      <c r="K2552" s="2"/>
    </row>
    <row r="2553" spans="1:11" ht="63" x14ac:dyDescent="0.25">
      <c r="A2553" s="1" t="str">
        <f>"116/2015"</f>
        <v>116/2015</v>
      </c>
      <c r="B2553" s="1" t="s">
        <v>26</v>
      </c>
      <c r="C2553" s="1" t="s">
        <v>1309</v>
      </c>
      <c r="D2553" s="1" t="str">
        <f>"2338-2014-EVV"</f>
        <v>2338-2014-EVV</v>
      </c>
      <c r="E2553" s="2"/>
      <c r="F2553" s="1" t="str">
        <f>"1.179.344,34"</f>
        <v>1.179.344,34</v>
      </c>
      <c r="G2553" s="1" t="str">
        <f>CONCATENATE("17.02.2015.",CHAR(10),"31.12.2015")</f>
        <v>17.02.2015.
31.12.2015</v>
      </c>
      <c r="H2553" s="1" t="str">
        <f>CONCATENATE("AG SJAJ D.O.O., ZAGREB")</f>
        <v>AG SJAJ D.O.O., ZAGREB</v>
      </c>
      <c r="I2553" s="2"/>
      <c r="J2553" s="1"/>
      <c r="K2553" s="2"/>
    </row>
    <row r="2554" spans="1:11" ht="47.25" x14ac:dyDescent="0.25">
      <c r="A2554" s="1" t="str">
        <f>"117/2015"</f>
        <v>117/2015</v>
      </c>
      <c r="B2554" s="1" t="s">
        <v>14</v>
      </c>
      <c r="C2554" s="1" t="s">
        <v>1310</v>
      </c>
      <c r="D2554" s="1" t="str">
        <f>CONCATENATE("2756-2014-EMV",CHAR(10),"2014/S 002-0056615 od 09.12.2014.")</f>
        <v>2756-2014-EMV
2014/S 002-0056615 od 09.12.2014.</v>
      </c>
      <c r="E2554" s="1" t="s">
        <v>15</v>
      </c>
      <c r="F2554" s="1" t="str">
        <f>"999.999,00"</f>
        <v>999.999,00</v>
      </c>
      <c r="G2554" s="1" t="str">
        <f>CONCATENATE("09.03.2015.",CHAR(10),"8 mjeseci od dana uvođenja u posao")</f>
        <v>09.03.2015.
8 mjeseci od dana uvođenja u posao</v>
      </c>
      <c r="H2554" s="1" t="str">
        <f>CONCATENATE("GRADNJAPROJEKT- ZAGREB D.O.O., ZAGREB")</f>
        <v>GRADNJAPROJEKT- ZAGREB D.O.O., ZAGREB</v>
      </c>
      <c r="I2554" s="2"/>
      <c r="J2554" s="1"/>
      <c r="K2554" s="2"/>
    </row>
    <row r="2555" spans="1:11" ht="173.25" x14ac:dyDescent="0.25">
      <c r="A2555" s="1" t="str">
        <f>"118/2015"</f>
        <v>118/2015</v>
      </c>
      <c r="B2555" s="1" t="s">
        <v>14</v>
      </c>
      <c r="C2555" s="1" t="s">
        <v>1311</v>
      </c>
      <c r="D2555" s="1" t="str">
        <f>CONCATENATE("2328-2014-EMV",CHAR(10),"2014/S 002-0046734 od 10.10.2014 i ispravak 2014/S 014-0049523 od 29.10.2014.")</f>
        <v>2328-2014-EMV
2014/S 002-0046734 od 10.10.2014 i ispravak 2014/S 014-0049523 od 29.10.2014.</v>
      </c>
      <c r="E2555" s="1" t="s">
        <v>15</v>
      </c>
      <c r="F2555" s="1" t="str">
        <f>"238.460,00"</f>
        <v>238.460,00</v>
      </c>
      <c r="G2555" s="1" t="str">
        <f>CONCATENATE("09.03.2015.",CHAR(10),"180 dana od dana obostranog potpisa Ugovra")</f>
        <v>09.03.2015.
180 dana od dana obostranog potpisa Ugovra</v>
      </c>
      <c r="H2555" s="1" t="str">
        <f>CONCATENATE("1. Zajednica ponuditelja: ",CHAR(10),"    NUGRAD D.O.O., ZAGREB",CHAR(10),"    ANSELMO ING D.O.O., ZAGREB",CHAR(10),"    GRID D.O.O., ZAGREB",CHAR(10),"    TERMOPROJEKTING D.O.O., SAMOBOR",CHAR(10),"    STELAING D.O.O., ZAGREB",CHAR(10),"    ABECEDA ZAŠTITE D.O.O., RIJEKA",CHAR(10),"    ZAVOD ZA UNAPREĐIVANJE SIGURNOSTI D.D., OSIJEK",CHAR(10),"    GEO-NIS D.O.O., SAMOBOR")</f>
        <v>1. Zajednica ponuditelja: 
    NUGRAD D.O.O., ZAGREB
    ANSELMO ING D.O.O., ZAGREB
    GRID D.O.O., ZAGREB
    TERMOPROJEKTING D.O.O., SAMOBOR
    STELAING D.O.O., ZAGREB
    ABECEDA ZAŠTITE D.O.O., RIJEKA
    ZAVOD ZA UNAPREĐIVANJE SIGURNOSTI D.D., OSIJEK
    GEO-NIS D.O.O., SAMOBOR</v>
      </c>
      <c r="I2555" s="2"/>
      <c r="J2555" s="1"/>
      <c r="K2555" s="2"/>
    </row>
    <row r="2556" spans="1:11" ht="47.25" x14ac:dyDescent="0.25">
      <c r="A2556" s="1" t="str">
        <f>"120/2015"</f>
        <v>120/2015</v>
      </c>
      <c r="B2556" s="1" t="s">
        <v>26</v>
      </c>
      <c r="C2556" s="1" t="s">
        <v>1312</v>
      </c>
      <c r="D2556" s="1" t="str">
        <f>"3148-2014-EVV"</f>
        <v>3148-2014-EVV</v>
      </c>
      <c r="E2556" s="2"/>
      <c r="F2556" s="1" t="str">
        <f>"1.354.232,40"</f>
        <v>1.354.232,40</v>
      </c>
      <c r="G2556" s="1" t="str">
        <f>CONCATENATE("09.03.2015.",CHAR(10),"12 mjeseci")</f>
        <v>09.03.2015.
12 mjeseci</v>
      </c>
      <c r="H2556" s="1" t="str">
        <f>CONCATENATE("ZAGREBAČKE PEKARNE KLARA D.D., ZAGREB")</f>
        <v>ZAGREBAČKE PEKARNE KLARA D.D., ZAGREB</v>
      </c>
      <c r="I2556" s="2"/>
      <c r="J2556" s="1"/>
      <c r="K2556" s="2"/>
    </row>
    <row r="2557" spans="1:11" ht="31.5" x14ac:dyDescent="0.25">
      <c r="A2557" s="1" t="str">
        <f>"A-25/2015"</f>
        <v>A-25/2015</v>
      </c>
      <c r="B2557" s="1" t="s">
        <v>11</v>
      </c>
      <c r="C2557" s="1" t="s">
        <v>1313</v>
      </c>
      <c r="D2557" s="1" t="str">
        <f>"769-2012-EMV"</f>
        <v>769-2012-EMV</v>
      </c>
      <c r="E2557" s="2"/>
      <c r="F2557" s="1" t="str">
        <f>"0,00"</f>
        <v>0,00</v>
      </c>
      <c r="G2557" s="1" t="str">
        <f>CONCATENATE("17.03.2015.",CHAR(10),"20.03.2015")</f>
        <v>17.03.2015.
20.03.2015</v>
      </c>
      <c r="H2557" s="1" t="str">
        <f>CONCATENATE("HEDOM D.O.O., ZAGREB")</f>
        <v>HEDOM D.O.O., ZAGREB</v>
      </c>
      <c r="I2557" s="2"/>
      <c r="J2557" s="1"/>
      <c r="K2557" s="2"/>
    </row>
    <row r="2558" spans="1:11" ht="47.25" x14ac:dyDescent="0.25">
      <c r="A2558" s="1" t="str">
        <f>"123/2015"</f>
        <v>123/2015</v>
      </c>
      <c r="B2558" s="1" t="s">
        <v>14</v>
      </c>
      <c r="C2558" s="1" t="s">
        <v>1314</v>
      </c>
      <c r="D2558" s="1" t="str">
        <f>CONCATENATE("1368-2014-EMV",CHAR(10),"2014/S 002-0053301 od 19.11.2014.")</f>
        <v>1368-2014-EMV
2014/S 002-0053301 od 19.11.2014.</v>
      </c>
      <c r="E2558" s="1" t="s">
        <v>15</v>
      </c>
      <c r="F2558" s="1" t="str">
        <f>"645.620,00"</f>
        <v>645.620,00</v>
      </c>
      <c r="G2558" s="1" t="str">
        <f>CONCATENATE("17.03.2015.",CHAR(10),"3 mjeseca od dana uvođenja u posao")</f>
        <v>17.03.2015.
3 mjeseca od dana uvođenja u posao</v>
      </c>
      <c r="H2558" s="1" t="str">
        <f>CONCATENATE("1. Zajednica ponuditelja: ",CHAR(10),"    P.G.P. D.O.O., ZAGREB",CHAR(10),"    MONTERRA D.O.O., RIJEKA")</f>
        <v>1. Zajednica ponuditelja: 
    P.G.P. D.O.O., ZAGREB
    MONTERRA D.O.O., RIJEKA</v>
      </c>
      <c r="I2558" s="2"/>
      <c r="J2558" s="1"/>
      <c r="K2558" s="2"/>
    </row>
    <row r="2559" spans="1:11" ht="94.5" x14ac:dyDescent="0.25">
      <c r="A2559" s="1" t="str">
        <f>"124/2015"</f>
        <v>124/2015</v>
      </c>
      <c r="B2559" s="1" t="s">
        <v>14</v>
      </c>
      <c r="C2559" s="1" t="s">
        <v>1315</v>
      </c>
      <c r="D2559" s="1" t="str">
        <f>CONCATENATE("2301-2014-EMV",CHAR(10),"2014/S 002-0052737 od 17.11.2014.")</f>
        <v>2301-2014-EMV
2014/S 002-0052737 od 17.11.2014.</v>
      </c>
      <c r="E2559" s="1" t="s">
        <v>15</v>
      </c>
      <c r="F2559" s="1" t="str">
        <f>"319.000,00"</f>
        <v>319.000,00</v>
      </c>
      <c r="G2559" s="1" t="str">
        <f>CONCATENATE("17.03.2015.",CHAR(10),"8 mjeseci od dana obostranog potpisa Ugovora")</f>
        <v>17.03.2015.
8 mjeseci od dana obostranog potpisa Ugovora</v>
      </c>
      <c r="H2559" s="1" t="str">
        <f>CONCATENATE("1. Zajednica ponuditelja: ",CHAR(10),"    TRG D.O.O., TRNOVEC BARTOLOVEČKI",CHAR(10),"    GEOTEHNIKA J.D.O.O., VODICE",CHAR(10),"    HRVATSKI GEOLOŠKI INSTITUT, ZAGREB")</f>
        <v>1. Zajednica ponuditelja: 
    TRG D.O.O., TRNOVEC BARTOLOVEČKI
    GEOTEHNIKA J.D.O.O., VODICE
    HRVATSKI GEOLOŠKI INSTITUT, ZAGREB</v>
      </c>
      <c r="I2559" s="2"/>
      <c r="J2559" s="1"/>
      <c r="K2559" s="2"/>
    </row>
    <row r="2560" spans="1:11" ht="78.75" x14ac:dyDescent="0.25">
      <c r="A2560" s="1" t="str">
        <f>"125/2015"</f>
        <v>125/2015</v>
      </c>
      <c r="B2560" s="1" t="s">
        <v>14</v>
      </c>
      <c r="C2560" s="1" t="s">
        <v>1316</v>
      </c>
      <c r="D2560" s="1" t="str">
        <f>CONCATENATE("2501-2014-EMV",CHAR(10),"2014/S 002-0046024 od 03.10.2014 i ispravak 2014/S 014-0048581 od 22.10.2014.")</f>
        <v>2501-2014-EMV
2014/S 002-0046024 od 03.10.2014 i ispravak 2014/S 014-0048581 od 22.10.2014.</v>
      </c>
      <c r="E2560" s="1" t="s">
        <v>15</v>
      </c>
      <c r="F2560" s="1" t="str">
        <f>"242.800,00"</f>
        <v>242.800,00</v>
      </c>
      <c r="G2560" s="1" t="str">
        <f>CONCATENATE("18.03.2015.",CHAR(10),"90 dana od dana obostranog potpisa Ugovora")</f>
        <v>18.03.2015.
90 dana od dana obostranog potpisa Ugovora</v>
      </c>
      <c r="H2560" s="1" t="str">
        <f>CONCATENATE("STUDIO FM ARHITEKTURA D.O.O., ZAGREB")</f>
        <v>STUDIO FM ARHITEKTURA D.O.O., ZAGREB</v>
      </c>
      <c r="I2560" s="2"/>
      <c r="J2560" s="1"/>
      <c r="K2560" s="2"/>
    </row>
    <row r="2561" spans="1:11" ht="78.75" x14ac:dyDescent="0.25">
      <c r="A2561" s="1" t="str">
        <f>"126/2015"</f>
        <v>126/2015</v>
      </c>
      <c r="B2561" s="1" t="s">
        <v>14</v>
      </c>
      <c r="C2561" s="1" t="s">
        <v>1317</v>
      </c>
      <c r="D2561" s="1" t="str">
        <f>CONCATENATE("2513-2014-EMV",CHAR(10),"2014/S 002-0054553 od 26.11.2014 i ispravak 2014/S 014-0054900 od 28.11.2014.")</f>
        <v>2513-2014-EMV
2014/S 002-0054553 od 26.11.2014 i ispravak 2014/S 014-0054900 od 28.11.2014.</v>
      </c>
      <c r="E2561" s="1" t="s">
        <v>15</v>
      </c>
      <c r="F2561" s="1" t="str">
        <f>"243.660,00"</f>
        <v>243.660,00</v>
      </c>
      <c r="G2561" s="1" t="str">
        <f>CONCATENATE("18.03.2015.",CHAR(10),"Idejni projekt 60 dana od uvođenja u posao, a glavni projekt 30 dana po uvođenju u taj dio posla")</f>
        <v>18.03.2015.
Idejni projekt 60 dana od uvođenja u posao, a glavni projekt 30 dana po uvođenju u taj dio posla</v>
      </c>
      <c r="H2561" s="1" t="str">
        <f>CONCATENATE("1. Zajednica ponuditelja: ",CHAR(10),"    GEOKON - ZAGREB D.D., ZAGREB",CHAR(10),"    REPER PLUS D.O.O., ZAGREB")</f>
        <v>1. Zajednica ponuditelja: 
    GEOKON - ZAGREB D.D., ZAGREB
    REPER PLUS D.O.O., ZAGREB</v>
      </c>
      <c r="I2561" s="2"/>
      <c r="J2561" s="1"/>
      <c r="K2561" s="2"/>
    </row>
    <row r="2562" spans="1:11" ht="47.25" x14ac:dyDescent="0.25">
      <c r="A2562" s="1" t="str">
        <f>"127/2015"</f>
        <v>127/2015</v>
      </c>
      <c r="B2562" s="1" t="s">
        <v>14</v>
      </c>
      <c r="C2562" s="1" t="s">
        <v>1318</v>
      </c>
      <c r="D2562" s="1" t="str">
        <f>CONCATENATE("2014-2545",CHAR(10),"2014/S 002-0058818 od 23.12.2014.")</f>
        <v>2014-2545
2014/S 002-0058818 od 23.12.2014.</v>
      </c>
      <c r="E2562" s="1" t="s">
        <v>15</v>
      </c>
      <c r="F2562" s="1" t="str">
        <f>"305.800,00"</f>
        <v>305.800,00</v>
      </c>
      <c r="G2562" s="1" t="str">
        <f>CONCATENATE("17.03.2015.",CHAR(10),"1 godina")</f>
        <v>17.03.2015.
1 godina</v>
      </c>
      <c r="H2562" s="1" t="str">
        <f>CONCATENATE("EDC D.O.O., ZAGREB")</f>
        <v>EDC D.O.O., ZAGREB</v>
      </c>
      <c r="I2562" s="2"/>
      <c r="J2562" s="1"/>
      <c r="K2562" s="1" t="s">
        <v>607</v>
      </c>
    </row>
    <row r="2563" spans="1:11" ht="47.25" x14ac:dyDescent="0.25">
      <c r="A2563" s="1" t="str">
        <f>"128/2015"</f>
        <v>128/2015</v>
      </c>
      <c r="B2563" s="1" t="s">
        <v>14</v>
      </c>
      <c r="C2563" s="1" t="s">
        <v>1319</v>
      </c>
      <c r="D2563" s="1" t="str">
        <f>CONCATENATE("3531-2014-EMV",CHAR(10),"2014/S 002-0058911 od 23.12.2014.")</f>
        <v>3531-2014-EMV
2014/S 002-0058911 od 23.12.2014.</v>
      </c>
      <c r="E2563" s="1" t="s">
        <v>15</v>
      </c>
      <c r="F2563" s="1" t="str">
        <f>"1.283.192,43"</f>
        <v>1.283.192,43</v>
      </c>
      <c r="G2563" s="1" t="str">
        <f>CONCATENATE("19.03.2015.",CHAR(10),"Do konzumiranja ugovorene količine robe")</f>
        <v>19.03.2015.
Do konzumiranja ugovorene količine robe</v>
      </c>
      <c r="H2563" s="1" t="str">
        <f>CONCATENATE("BIRODOM D.O.O., LUČKO")</f>
        <v>BIRODOM D.O.O., LUČKO</v>
      </c>
      <c r="I2563" s="2"/>
      <c r="J2563" s="1"/>
      <c r="K2563" s="2"/>
    </row>
    <row r="2564" spans="1:11" ht="31.5" x14ac:dyDescent="0.25">
      <c r="A2564" s="1" t="str">
        <f>"A-26/2015"</f>
        <v>A-26/2015</v>
      </c>
      <c r="B2564" s="1" t="s">
        <v>11</v>
      </c>
      <c r="C2564" s="1" t="s">
        <v>1320</v>
      </c>
      <c r="D2564" s="1" t="str">
        <f>"1120-2013-EMV"</f>
        <v>1120-2013-EMV</v>
      </c>
      <c r="E2564" s="2"/>
      <c r="F2564" s="1" t="str">
        <f>"0,00"</f>
        <v>0,00</v>
      </c>
      <c r="G2564" s="1" t="str">
        <f>CONCATENATE("19.03.2015.",CHAR(10),"15.4.2015.")</f>
        <v>19.03.2015.
15.4.2015.</v>
      </c>
      <c r="H2564" s="1" t="str">
        <f>CONCATENATE("HEDOM D.O.O., ZAGREB")</f>
        <v>HEDOM D.O.O., ZAGREB</v>
      </c>
      <c r="I2564" s="2"/>
      <c r="J2564" s="1"/>
      <c r="K2564" s="2"/>
    </row>
    <row r="2565" spans="1:11" ht="78.75" x14ac:dyDescent="0.25">
      <c r="A2565" s="1" t="str">
        <f>"A-27/2015"</f>
        <v>A-27/2015</v>
      </c>
      <c r="B2565" s="1" t="s">
        <v>11</v>
      </c>
      <c r="C2565" s="1" t="s">
        <v>1321</v>
      </c>
      <c r="D2565" s="1" t="str">
        <f>"1843-2012-EMV"</f>
        <v>1843-2012-EMV</v>
      </c>
      <c r="E2565" s="2"/>
      <c r="F2565" s="1" t="str">
        <f>"0,00"</f>
        <v>0,00</v>
      </c>
      <c r="G2565" s="1" t="str">
        <f>CONCATENATE("19.03.2015.",CHAR(10),"31.12.2015")</f>
        <v>19.03.2015.
31.12.2015</v>
      </c>
      <c r="H2565" s="1" t="str">
        <f>CONCATENATE("DALEKOVOD-PROJEKT D.O.O., ZAGREB")</f>
        <v>DALEKOVOD-PROJEKT D.O.O., ZAGREB</v>
      </c>
      <c r="I2565" s="2"/>
      <c r="J2565" s="1"/>
      <c r="K2565" s="2"/>
    </row>
    <row r="2566" spans="1:11" ht="63" x14ac:dyDescent="0.25">
      <c r="A2566" s="1" t="str">
        <f>"129/2015"</f>
        <v>129/2015</v>
      </c>
      <c r="B2566" s="1" t="s">
        <v>26</v>
      </c>
      <c r="C2566" s="1" t="s">
        <v>1322</v>
      </c>
      <c r="D2566" s="1" t="str">
        <f>"589-2014-EVV"</f>
        <v>589-2014-EVV</v>
      </c>
      <c r="E2566" s="2"/>
      <c r="F2566" s="1" t="str">
        <f>"950.975,00"</f>
        <v>950.975,00</v>
      </c>
      <c r="G2566" s="1" t="str">
        <f>CONCATENATE("19.03.2015.",CHAR(10),"12 mjeseci od dana obostranog potpisa Ugovora")</f>
        <v>19.03.2015.
12 mjeseci od dana obostranog potpisa Ugovora</v>
      </c>
      <c r="H2566" s="1" t="str">
        <f>CONCATENATE("URIHO - USTANOVA ZA PROFESIONALNU REHABILITACIJU I ZAPOŠLJAVANJE OSOBA S INVALIDITETOM, ZAGREB")</f>
        <v>URIHO - USTANOVA ZA PROFESIONALNU REHABILITACIJU I ZAPOŠLJAVANJE OSOBA S INVALIDITETOM, ZAGREB</v>
      </c>
      <c r="I2566" s="2"/>
      <c r="J2566" s="1"/>
      <c r="K2566" s="2"/>
    </row>
    <row r="2567" spans="1:11" ht="47.25" x14ac:dyDescent="0.25">
      <c r="A2567" s="1" t="str">
        <f>"A-28/2015"</f>
        <v>A-28/2015</v>
      </c>
      <c r="B2567" s="1" t="s">
        <v>11</v>
      </c>
      <c r="C2567" s="1" t="s">
        <v>1323</v>
      </c>
      <c r="D2567" s="1" t="str">
        <f>"1373-2014-EMV"</f>
        <v>1373-2014-EMV</v>
      </c>
      <c r="E2567" s="2"/>
      <c r="F2567" s="1" t="str">
        <f>"0,00"</f>
        <v>0,00</v>
      </c>
      <c r="G2567" s="1" t="str">
        <f>CONCATENATE("06.03.2015.",CHAR(10),"25.4.2015")</f>
        <v>06.03.2015.
25.4.2015</v>
      </c>
      <c r="H2567" s="1" t="str">
        <f>CONCATENATE("1. Zajednica ponuditelja: ",CHAR(10),"    P.G.P. D.O.O., ZAGREB",CHAR(10),"    MONTERRA D.O.O., RIJEKA")</f>
        <v>1. Zajednica ponuditelja: 
    P.G.P. D.O.O., ZAGREB
    MONTERRA D.O.O., RIJEKA</v>
      </c>
      <c r="I2567" s="2"/>
      <c r="J2567" s="1"/>
      <c r="K2567" s="2"/>
    </row>
    <row r="2568" spans="1:11" ht="47.25" x14ac:dyDescent="0.25">
      <c r="A2568" s="1" t="str">
        <f>"130/2015"</f>
        <v>130/2015</v>
      </c>
      <c r="B2568" s="1" t="s">
        <v>14</v>
      </c>
      <c r="C2568" s="1" t="s">
        <v>1324</v>
      </c>
      <c r="D2568" s="1" t="str">
        <f>CONCATENATE("2591-2014-EMV",CHAR(10),"2014/S 002-0054425 od 26.11.2014.")</f>
        <v>2591-2014-EMV
2014/S 002-0054425 od 26.11.2014.</v>
      </c>
      <c r="E2568" s="1" t="s">
        <v>15</v>
      </c>
      <c r="F2568" s="1" t="str">
        <f>"132.000,00"</f>
        <v>132.000,00</v>
      </c>
      <c r="G2568" s="1" t="str">
        <f>CONCATENATE("19.03.2015.",CHAR(10),"12 mjeseci od dana obostranog potpisa Ugovora")</f>
        <v>19.03.2015.
12 mjeseci od dana obostranog potpisa Ugovora</v>
      </c>
      <c r="H2568" s="1" t="str">
        <f>CONCATENATE("PROJEKTNI BIRO NAGLIĆ D.O.O., ZAGREB")</f>
        <v>PROJEKTNI BIRO NAGLIĆ D.O.O., ZAGREB</v>
      </c>
      <c r="I2568" s="2"/>
      <c r="J2568" s="1"/>
      <c r="K2568" s="2"/>
    </row>
    <row r="2569" spans="1:11" ht="47.25" x14ac:dyDescent="0.25">
      <c r="A2569" s="1" t="str">
        <f>"131/2015"</f>
        <v>131/2015</v>
      </c>
      <c r="B2569" s="1" t="s">
        <v>136</v>
      </c>
      <c r="C2569" s="1" t="s">
        <v>1325</v>
      </c>
      <c r="D2569" s="1" t="str">
        <f>CONCATENATE("2014-2719",CHAR(10),"2014/S-002-0060181 od 31.12.2014.")</f>
        <v>2014-2719
2014/S-002-0060181 od 31.12.2014.</v>
      </c>
      <c r="E2569" s="1" t="s">
        <v>366</v>
      </c>
      <c r="F2569" s="1" t="str">
        <f>"2.528.120,70"</f>
        <v>2.528.120,70</v>
      </c>
      <c r="G2569" s="1" t="str">
        <f>CONCATENATE("19.03.2015.",CHAR(10),"2 godine")</f>
        <v>19.03.2015.
2 godine</v>
      </c>
      <c r="H2569" s="1" t="str">
        <f>CONCATENATE("PISMORAD D.D., ZAGREB",CHAR(10),"ELEKTROCENTAR PETEK D.O.O., IVANIĆ-GRAD")</f>
        <v>PISMORAD D.D., ZAGREB
ELEKTROCENTAR PETEK D.O.O., IVANIĆ-GRAD</v>
      </c>
      <c r="I2569" s="2"/>
      <c r="J2569" s="1"/>
      <c r="K2569" s="1" t="s">
        <v>607</v>
      </c>
    </row>
    <row r="2570" spans="1:11" ht="47.25" x14ac:dyDescent="0.25">
      <c r="A2570" s="1" t="str">
        <f>"132/2015"</f>
        <v>132/2015</v>
      </c>
      <c r="B2570" s="1" t="s">
        <v>14</v>
      </c>
      <c r="C2570" s="1" t="s">
        <v>1326</v>
      </c>
      <c r="D2570" s="1" t="str">
        <f>CONCATENATE("1234-2014-EMV",CHAR(10),"2014/S 002-0026524 od 28.05.2014.")</f>
        <v>1234-2014-EMV
2014/S 002-0026524 od 28.05.2014.</v>
      </c>
      <c r="E2570" s="1" t="s">
        <v>15</v>
      </c>
      <c r="F2570" s="1" t="str">
        <f>"1.469.426,20"</f>
        <v>1.469.426,20</v>
      </c>
      <c r="G2570" s="1" t="str">
        <f>CONCATENATE("19.03.2015.",CHAR(10),"14 mjeseci od dana uvođenja u posao")</f>
        <v>19.03.2015.
14 mjeseci od dana uvođenja u posao</v>
      </c>
      <c r="H2570" s="1" t="str">
        <f>CONCATENATE("KAPITEL D.O.O., IVANIĆ-GRAD")</f>
        <v>KAPITEL D.O.O., IVANIĆ-GRAD</v>
      </c>
      <c r="I2570" s="2"/>
      <c r="J2570" s="1"/>
      <c r="K2570" s="2"/>
    </row>
    <row r="2571" spans="1:11" ht="110.25" x14ac:dyDescent="0.25">
      <c r="A2571" s="1" t="str">
        <f>"133/2015"</f>
        <v>133/2015</v>
      </c>
      <c r="B2571" s="1" t="s">
        <v>136</v>
      </c>
      <c r="C2571" s="1" t="s">
        <v>1327</v>
      </c>
      <c r="D2571" s="1" t="str">
        <f>CONCATENATE("2014-2462",CHAR(10),"2014/S 002-0047286 od 15.10.2014; ispravak 2014/S 014-0053846 od 21.11.2014 i ispravak 2014/S 014-0054643 od 27.11.2014.")</f>
        <v>2014-2462
2014/S 002-0047286 od 15.10.2014; ispravak 2014/S 014-0053846 od 21.11.2014 i ispravak 2014/S 014-0054643 od 27.11.2014.</v>
      </c>
      <c r="E2571" s="1" t="s">
        <v>366</v>
      </c>
      <c r="F2571" s="1" t="str">
        <f>"11.186.000,00"</f>
        <v>11.186.000,00</v>
      </c>
      <c r="G2571" s="1" t="str">
        <f>CONCATENATE("20.03.2015.",CHAR(10),"2 godine")</f>
        <v>20.03.2015.
2 godine</v>
      </c>
      <c r="H2571" s="1" t="str">
        <f>CONCATENATE("KAMING D.D., LJUBEŠĆICA")</f>
        <v>KAMING D.D., LJUBEŠĆICA</v>
      </c>
      <c r="I2571" s="2"/>
      <c r="J2571" s="1"/>
      <c r="K2571" s="1" t="s">
        <v>607</v>
      </c>
    </row>
    <row r="2572" spans="1:11" ht="47.25" x14ac:dyDescent="0.25">
      <c r="A2572" s="1" t="str">
        <f>"134/2015"</f>
        <v>134/2015</v>
      </c>
      <c r="B2572" s="1" t="s">
        <v>14</v>
      </c>
      <c r="C2572" s="1" t="s">
        <v>1328</v>
      </c>
      <c r="D2572" s="1" t="str">
        <f>CONCATENATE("1632-2014-EMV",CHAR(10),"2014/S-002-0044650 od 24.09.2014.")</f>
        <v>1632-2014-EMV
2014/S-002-0044650 od 24.09.2014.</v>
      </c>
      <c r="E2572" s="1" t="s">
        <v>15</v>
      </c>
      <c r="F2572" s="1" t="str">
        <f>"1.049.105,50"</f>
        <v>1.049.105,50</v>
      </c>
      <c r="G2572" s="1" t="str">
        <f>CONCATENATE("20.03.2015.",CHAR(10),"4 mjeseca  od dana uvođenja u posao")</f>
        <v>20.03.2015.
4 mjeseca  od dana uvođenja u posao</v>
      </c>
      <c r="H2572" s="1" t="str">
        <f>CONCATENATE("O.K.I. MONT D.O.O., ZAGREB")</f>
        <v>O.K.I. MONT D.O.O., ZAGREB</v>
      </c>
      <c r="I2572" s="2"/>
      <c r="J2572" s="1"/>
      <c r="K2572" s="2"/>
    </row>
    <row r="2573" spans="1:11" ht="47.25" x14ac:dyDescent="0.25">
      <c r="A2573" s="1" t="str">
        <f>"135/2015"</f>
        <v>135/2015</v>
      </c>
      <c r="B2573" s="1" t="s">
        <v>26</v>
      </c>
      <c r="C2573" s="1" t="s">
        <v>1329</v>
      </c>
      <c r="D2573" s="1" t="str">
        <f>"EV-309-020/2011"</f>
        <v>EV-309-020/2011</v>
      </c>
      <c r="E2573" s="2"/>
      <c r="F2573" s="1" t="str">
        <f>"339.750,00"</f>
        <v>339.750,00</v>
      </c>
      <c r="G2573" s="1" t="str">
        <f>CONCATENATE("17.02.2015.",CHAR(10),"12 mjeseci sukcesivno nakon obostranog potpisa Ugovora")</f>
        <v>17.02.2015.
12 mjeseci sukcesivno nakon obostranog potpisa Ugovora</v>
      </c>
      <c r="H2573" s="1" t="str">
        <f>CONCATENATE("PETROL D.O.O., ZAGREB")</f>
        <v>PETROL D.O.O., ZAGREB</v>
      </c>
      <c r="I2573" s="2"/>
      <c r="J2573" s="1"/>
      <c r="K2573" s="2"/>
    </row>
    <row r="2574" spans="1:11" ht="47.25" x14ac:dyDescent="0.25">
      <c r="A2574" s="1" t="str">
        <f>"136/2015"</f>
        <v>136/2015</v>
      </c>
      <c r="B2574" s="1" t="s">
        <v>14</v>
      </c>
      <c r="C2574" s="1" t="s">
        <v>1330</v>
      </c>
      <c r="D2574" s="1" t="str">
        <f>CONCATENATE("2014-766",CHAR(10),"2014/S 002-0058843 od 23.12.2014.")</f>
        <v>2014-766
2014/S 002-0058843 od 23.12.2014.</v>
      </c>
      <c r="E2574" s="1" t="s">
        <v>15</v>
      </c>
      <c r="F2574" s="1" t="str">
        <f>"1.636.981,77"</f>
        <v>1.636.981,77</v>
      </c>
      <c r="G2574" s="1" t="str">
        <f>CONCATENATE("19.03.2015.",CHAR(10),"1 godina od dana uvođenja u posao")</f>
        <v>19.03.2015.
1 godina od dana uvođenja u posao</v>
      </c>
      <c r="H2574" s="1" t="str">
        <f>CONCATENATE("CENTAR ZA GRAĐEVINARSTVO, ZAGREB")</f>
        <v>CENTAR ZA GRAĐEVINARSTVO, ZAGREB</v>
      </c>
      <c r="I2574" s="2"/>
      <c r="J2574" s="1"/>
      <c r="K2574" s="1" t="s">
        <v>607</v>
      </c>
    </row>
    <row r="2575" spans="1:11" ht="63" x14ac:dyDescent="0.25">
      <c r="A2575" s="1" t="str">
        <f>"137/2015"</f>
        <v>137/2015</v>
      </c>
      <c r="B2575" s="1" t="s">
        <v>26</v>
      </c>
      <c r="C2575" s="1" t="s">
        <v>1331</v>
      </c>
      <c r="D2575" s="1" t="str">
        <f>"3149-2014-EVV"</f>
        <v>3149-2014-EVV</v>
      </c>
      <c r="E2575" s="2"/>
      <c r="F2575" s="1" t="str">
        <f>"2.498.297,50"</f>
        <v>2.498.297,50</v>
      </c>
      <c r="G2575" s="1" t="str">
        <f>CONCATENATE("20.03.2015.",CHAR(10),"12 mjeseci od obostranog potpisa Ugovora")</f>
        <v>20.03.2015.
12 mjeseci od obostranog potpisa Ugovora</v>
      </c>
      <c r="H2575" s="1" t="str">
        <f>CONCATENATE("1. Zajednica ponuditelja: ",CHAR(10),"    VINDIJA D.D., VARAŽDIN",CHAR(10),"    KOKA D.D., VARAŽDIN",CHAR(10),"    VINDON D.O.O., SLAVONSKI BROD")</f>
        <v>1. Zajednica ponuditelja: 
    VINDIJA D.D., VARAŽDIN
    KOKA D.D., VARAŽDIN
    VINDON D.O.O., SLAVONSKI BROD</v>
      </c>
      <c r="I2575" s="2"/>
      <c r="J2575" s="1"/>
      <c r="K2575" s="2"/>
    </row>
    <row r="2576" spans="1:11" ht="31.5" x14ac:dyDescent="0.25">
      <c r="A2576" s="1" t="str">
        <f>"A-29/2015"</f>
        <v>A-29/2015</v>
      </c>
      <c r="B2576" s="1" t="s">
        <v>11</v>
      </c>
      <c r="C2576" s="1" t="s">
        <v>1332</v>
      </c>
      <c r="D2576" s="1" t="str">
        <f>"2877-2013-EMV"</f>
        <v>2877-2013-EMV</v>
      </c>
      <c r="E2576" s="2"/>
      <c r="F2576" s="1" t="str">
        <f>"0,00"</f>
        <v>0,00</v>
      </c>
      <c r="G2576" s="1" t="str">
        <f>CONCATENATE("06.03.2015.",CHAR(10),"15.3.2015")</f>
        <v>06.03.2015.
15.3.2015</v>
      </c>
      <c r="H2576" s="1" t="str">
        <f>CONCATENATE("GEORAD D.O.O., ZAGREB")</f>
        <v>GEORAD D.O.O., ZAGREB</v>
      </c>
      <c r="I2576" s="2"/>
      <c r="J2576" s="1"/>
      <c r="K2576" s="2"/>
    </row>
    <row r="2577" spans="1:11" ht="63" x14ac:dyDescent="0.25">
      <c r="A2577" s="1" t="str">
        <f>"A-30/2015"</f>
        <v>A-30/2015</v>
      </c>
      <c r="B2577" s="1" t="s">
        <v>11</v>
      </c>
      <c r="C2577" s="1" t="s">
        <v>1333</v>
      </c>
      <c r="D2577" s="1" t="str">
        <f>"1335-2013-EMV"</f>
        <v>1335-2013-EMV</v>
      </c>
      <c r="E2577" s="2"/>
      <c r="F2577" s="1" t="str">
        <f>"0,00"</f>
        <v>0,00</v>
      </c>
      <c r="G2577" s="1" t="str">
        <f>CONCATENATE("23.03.2015.",CHAR(10),"31.3.2015")</f>
        <v>23.03.2015.
31.3.2015</v>
      </c>
      <c r="H2577" s="1" t="str">
        <f>CONCATENATE("PALIR D.O.O., ZAGREB")</f>
        <v>PALIR D.O.O., ZAGREB</v>
      </c>
      <c r="I2577" s="2"/>
      <c r="J2577" s="1"/>
      <c r="K2577" s="2"/>
    </row>
    <row r="2578" spans="1:11" ht="47.25" x14ac:dyDescent="0.25">
      <c r="A2578" s="1" t="str">
        <f>"138/2015"</f>
        <v>138/2015</v>
      </c>
      <c r="B2578" s="1" t="s">
        <v>14</v>
      </c>
      <c r="C2578" s="1" t="s">
        <v>1334</v>
      </c>
      <c r="D2578" s="1" t="str">
        <f>CONCATENATE("3424-2014-EMV",CHAR(10),"2014/S-002-0057093 od 11.12.2014.")</f>
        <v>3424-2014-EMV
2014/S-002-0057093 od 11.12.2014.</v>
      </c>
      <c r="E2578" s="1" t="s">
        <v>15</v>
      </c>
      <c r="F2578" s="1" t="str">
        <f>"103.000,00"</f>
        <v>103.000,00</v>
      </c>
      <c r="G2578" s="1" t="str">
        <f>CONCATENATE("23.03.2015.",CHAR(10),"3 mjeseca od dana obostranog potpisa Ugovora")</f>
        <v>23.03.2015.
3 mjeseca od dana obostranog potpisa Ugovora</v>
      </c>
      <c r="H2578" s="1" t="str">
        <f>CONCATENATE("PROMETNICE ZAGREB D.O.O., ZAGREB")</f>
        <v>PROMETNICE ZAGREB D.O.O., ZAGREB</v>
      </c>
      <c r="I2578" s="2"/>
      <c r="J2578" s="1"/>
      <c r="K2578" s="2"/>
    </row>
    <row r="2579" spans="1:11" ht="110.25" x14ac:dyDescent="0.25">
      <c r="A2579" s="1" t="str">
        <f>"139/2015"</f>
        <v>139/2015</v>
      </c>
      <c r="B2579" s="1" t="s">
        <v>136</v>
      </c>
      <c r="C2579" s="1" t="s">
        <v>1335</v>
      </c>
      <c r="D2579" s="1" t="str">
        <f>CONCATENATE("2014-2731",CHAR(10),"2014/S 002-0060325 od 31.12.2014, ispravak 2015/S 014-0001792 od 19.1.2015 te ispravak 2015/S 014-0002709 od 26.01.2015.")</f>
        <v>2014-2731
2014/S 002-0060325 od 31.12.2014, ispravak 2015/S 014-0001792 od 19.1.2015 te ispravak 2015/S 014-0002709 od 26.01.2015.</v>
      </c>
      <c r="E2579" s="1" t="s">
        <v>366</v>
      </c>
      <c r="F2579" s="1" t="str">
        <f>"1.350.523,45"</f>
        <v>1.350.523,45</v>
      </c>
      <c r="G2579" s="1" t="str">
        <f>CONCATENATE("23.03.2015.",CHAR(10),"2 godine")</f>
        <v>23.03.2015.
2 godine</v>
      </c>
      <c r="H2579" s="1" t="str">
        <f>CONCATENATE("O-K-TEH d.o.o., ZAGREB")</f>
        <v>O-K-TEH d.o.o., ZAGREB</v>
      </c>
      <c r="I2579" s="2"/>
      <c r="J2579" s="1"/>
      <c r="K2579" s="1" t="s">
        <v>607</v>
      </c>
    </row>
    <row r="2580" spans="1:11" ht="63" x14ac:dyDescent="0.25">
      <c r="A2580" s="1" t="str">
        <f>"140/2015"</f>
        <v>140/2015</v>
      </c>
      <c r="B2580" s="1" t="s">
        <v>14</v>
      </c>
      <c r="C2580" s="1" t="s">
        <v>1336</v>
      </c>
      <c r="D2580" s="1" t="str">
        <f>CONCATENATE("3457-2014-EMV",CHAR(10),"2014/S 002-0056594 od 09.12.2014.")</f>
        <v>3457-2014-EMV
2014/S 002-0056594 od 09.12.2014.</v>
      </c>
      <c r="E2580" s="1" t="s">
        <v>15</v>
      </c>
      <c r="F2580" s="1" t="str">
        <f>"192.970,00"</f>
        <v>192.970,00</v>
      </c>
      <c r="G2580" s="1" t="str">
        <f>CONCATENATE("23.03.2015.",CHAR(10),"12 mjeseci od dana obostranog potpisa Ugovora")</f>
        <v>23.03.2015.
12 mjeseci od dana obostranog potpisa Ugovora</v>
      </c>
      <c r="H2580" s="1" t="str">
        <f>CONCATENATE("1. Zajednica ponuditelja: ",CHAR(10),"    RAMTECH D.O.O., ZAGREB",CHAR(10),"    ASCON INSTITUT D.O.O., SESVETE-KRALJEVEC")</f>
        <v>1. Zajednica ponuditelja: 
    RAMTECH D.O.O., ZAGREB
    ASCON INSTITUT D.O.O., SESVETE-KRALJEVEC</v>
      </c>
      <c r="I2580" s="2"/>
      <c r="J2580" s="1"/>
      <c r="K2580" s="2"/>
    </row>
    <row r="2581" spans="1:11" ht="47.25" x14ac:dyDescent="0.25">
      <c r="A2581" s="1" t="str">
        <f>"141/2015"</f>
        <v>141/2015</v>
      </c>
      <c r="B2581" s="1" t="s">
        <v>14</v>
      </c>
      <c r="C2581" s="1" t="s">
        <v>2900</v>
      </c>
      <c r="D2581" s="1" t="str">
        <f>CONCATENATE("2014-2784",CHAR(10),"2014/S-002-0059393 od 24.12.2014.")</f>
        <v>2014-2784
2014/S-002-0059393 od 24.12.2014.</v>
      </c>
      <c r="E2581" s="1" t="s">
        <v>15</v>
      </c>
      <c r="F2581" s="1" t="str">
        <f>"1.843.150,68"</f>
        <v>1.843.150,68</v>
      </c>
      <c r="G2581" s="1" t="str">
        <f>CONCATENATE("23.03.2015.",CHAR(10),"30.03.2016")</f>
        <v>23.03.2015.
30.03.2016</v>
      </c>
      <c r="H2581" s="1" t="str">
        <f>CONCATENATE("PRIVREDNA BANKA ZAGREB D.D., ZAGREB")</f>
        <v>PRIVREDNA BANKA ZAGREB D.D., ZAGREB</v>
      </c>
      <c r="I2581" s="2"/>
      <c r="J2581" s="1"/>
      <c r="K2581" s="1" t="s">
        <v>607</v>
      </c>
    </row>
    <row r="2582" spans="1:11" ht="47.25" x14ac:dyDescent="0.25">
      <c r="A2582" s="1" t="str">
        <f>"142/2015"</f>
        <v>142/2015</v>
      </c>
      <c r="B2582" s="1" t="s">
        <v>14</v>
      </c>
      <c r="C2582" s="1" t="s">
        <v>1337</v>
      </c>
      <c r="D2582" s="1" t="str">
        <f>CONCATENATE("2014-1861",CHAR(10),"2014/S 002-0060447 od 31.12.2014.")</f>
        <v>2014-1861
2014/S 002-0060447 od 31.12.2014.</v>
      </c>
      <c r="E2582" s="1" t="s">
        <v>15</v>
      </c>
      <c r="F2582" s="1" t="str">
        <f>"305.000,00"</f>
        <v>305.000,00</v>
      </c>
      <c r="G2582" s="1" t="str">
        <f>CONCATENATE("23.03.2015.",CHAR(10),"45 dana od dana obostranog potpisa Ugovora")</f>
        <v>23.03.2015.
45 dana od dana obostranog potpisa Ugovora</v>
      </c>
      <c r="H2582" s="1" t="str">
        <f>CONCATENATE("ENERKON D.O.O., ZAGREB")</f>
        <v>ENERKON D.O.O., ZAGREB</v>
      </c>
      <c r="I2582" s="2"/>
      <c r="J2582" s="1"/>
      <c r="K2582" s="1" t="s">
        <v>607</v>
      </c>
    </row>
    <row r="2583" spans="1:11" ht="63" x14ac:dyDescent="0.25">
      <c r="A2583" s="1" t="str">
        <f>"144/2015"</f>
        <v>144/2015</v>
      </c>
      <c r="B2583" s="1" t="s">
        <v>26</v>
      </c>
      <c r="C2583" s="1" t="s">
        <v>1338</v>
      </c>
      <c r="D2583" s="1" t="str">
        <f>"Z-2014-9"</f>
        <v>Z-2014-9</v>
      </c>
      <c r="E2583" s="2"/>
      <c r="F2583" s="1" t="str">
        <f>"2.034.862,80"</f>
        <v>2.034.862,80</v>
      </c>
      <c r="G2583" s="1" t="str">
        <f>CONCATENATE("02.03.2015.",CHAR(10),"12 mjeseci od dana obostranog potpisa Ugovora, odnosno do financijske realizacije")</f>
        <v>02.03.2015.
12 mjeseci od dana obostranog potpisa Ugovora, odnosno do financijske realizacije</v>
      </c>
      <c r="H2583" s="1" t="str">
        <f>CONCATENATE("HP-HRVATSKA POŠTA D.D., ZAGREB")</f>
        <v>HP-HRVATSKA POŠTA D.D., ZAGREB</v>
      </c>
      <c r="I2583" s="2"/>
      <c r="J2583" s="1"/>
      <c r="K2583" s="1" t="s">
        <v>607</v>
      </c>
    </row>
    <row r="2584" spans="1:11" ht="63" x14ac:dyDescent="0.25">
      <c r="A2584" s="1" t="str">
        <f>"145/2015"</f>
        <v>145/2015</v>
      </c>
      <c r="B2584" s="1" t="s">
        <v>26</v>
      </c>
      <c r="C2584" s="1" t="s">
        <v>1339</v>
      </c>
      <c r="D2584" s="1" t="str">
        <f>"Z-2014-9"</f>
        <v>Z-2014-9</v>
      </c>
      <c r="E2584" s="2"/>
      <c r="F2584" s="1" t="str">
        <f>"197.227,80"</f>
        <v>197.227,80</v>
      </c>
      <c r="G2584" s="1" t="str">
        <f>CONCATENATE("02.03.2015.",CHAR(10),"12 mjeseci od dana obostranog potpisa Ugovora, odnosno do financijske realizacije")</f>
        <v>02.03.2015.
12 mjeseci od dana obostranog potpisa Ugovora, odnosno do financijske realizacije</v>
      </c>
      <c r="H2584" s="1" t="str">
        <f>CONCATENATE("HP-HRVATSKA POŠTA D.D., ZAGREB")</f>
        <v>HP-HRVATSKA POŠTA D.D., ZAGREB</v>
      </c>
      <c r="I2584" s="2"/>
      <c r="J2584" s="1"/>
      <c r="K2584" s="1" t="s">
        <v>607</v>
      </c>
    </row>
    <row r="2585" spans="1:11" ht="63" x14ac:dyDescent="0.25">
      <c r="A2585" s="1" t="str">
        <f>"146/2015"</f>
        <v>146/2015</v>
      </c>
      <c r="B2585" s="1" t="s">
        <v>26</v>
      </c>
      <c r="C2585" s="1" t="s">
        <v>1339</v>
      </c>
      <c r="D2585" s="1" t="str">
        <f>"Z-2014-9"</f>
        <v>Z-2014-9</v>
      </c>
      <c r="E2585" s="2"/>
      <c r="F2585" s="1" t="str">
        <f>"25.950,00"</f>
        <v>25.950,00</v>
      </c>
      <c r="G2585" s="1" t="str">
        <f>CONCATENATE("02.03.2015.",CHAR(10),"12 mjeseci od dana obostranog potpisa Ugovora, odnosno do financijske realizacije")</f>
        <v>02.03.2015.
12 mjeseci od dana obostranog potpisa Ugovora, odnosno do financijske realizacije</v>
      </c>
      <c r="H2585" s="1" t="str">
        <f>CONCATENATE("HP-HRVATSKA POŠTA D.D., ZAGREB")</f>
        <v>HP-HRVATSKA POŠTA D.D., ZAGREB</v>
      </c>
      <c r="I2585" s="2"/>
      <c r="J2585" s="1"/>
      <c r="K2585" s="1" t="s">
        <v>607</v>
      </c>
    </row>
    <row r="2586" spans="1:11" ht="63" x14ac:dyDescent="0.25">
      <c r="A2586" s="1" t="str">
        <f>"147/2015"</f>
        <v>147/2015</v>
      </c>
      <c r="B2586" s="1" t="s">
        <v>26</v>
      </c>
      <c r="C2586" s="1" t="s">
        <v>1340</v>
      </c>
      <c r="D2586" s="1" t="str">
        <f>"Z-2014-9"</f>
        <v>Z-2014-9</v>
      </c>
      <c r="E2586" s="2"/>
      <c r="F2586" s="1" t="str">
        <f>"196.816,00"</f>
        <v>196.816,00</v>
      </c>
      <c r="G2586" s="1" t="str">
        <f>CONCATENATE("02.03.2015.",CHAR(10),"12 mjeseci od dana obostranog potpisa Ugovora, odnosno do financijske realizacije")</f>
        <v>02.03.2015.
12 mjeseci od dana obostranog potpisa Ugovora, odnosno do financijske realizacije</v>
      </c>
      <c r="H2586" s="1" t="str">
        <f>CONCATENATE("HP-HRVATSKA POŠTA D.D., ZAGREB")</f>
        <v>HP-HRVATSKA POŠTA D.D., ZAGREB</v>
      </c>
      <c r="I2586" s="2"/>
      <c r="J2586" s="1"/>
      <c r="K2586" s="1" t="s">
        <v>607</v>
      </c>
    </row>
    <row r="2587" spans="1:11" ht="47.25" x14ac:dyDescent="0.25">
      <c r="A2587" s="1" t="str">
        <f>"A-31/2015"</f>
        <v>A-31/2015</v>
      </c>
      <c r="B2587" s="1" t="s">
        <v>11</v>
      </c>
      <c r="C2587" s="1" t="s">
        <v>1341</v>
      </c>
      <c r="D2587" s="1" t="str">
        <f>"525-2013-EMV"</f>
        <v>525-2013-EMV</v>
      </c>
      <c r="E2587" s="2"/>
      <c r="F2587" s="1" t="str">
        <f>"0,00"</f>
        <v>0,00</v>
      </c>
      <c r="G2587" s="1" t="str">
        <f>CONCATENATE("25.03.2015.",CHAR(10),"15.05.2015")</f>
        <v>25.03.2015.
15.05.2015</v>
      </c>
      <c r="H2587" s="1" t="str">
        <f>CONCATENATE("1. Zajednica ponuditelja: ",CHAR(10),"    RANUS D.O.O., ZAGREB",CHAR(10),"    C.I.A.K. D.O.O., ZAGREB")</f>
        <v>1. Zajednica ponuditelja: 
    RANUS D.O.O., ZAGREB
    C.I.A.K. D.O.O., ZAGREB</v>
      </c>
      <c r="I2587" s="2"/>
      <c r="J2587" s="1"/>
      <c r="K2587" s="2"/>
    </row>
    <row r="2588" spans="1:11" ht="31.5" x14ac:dyDescent="0.25">
      <c r="A2588" s="1" t="str">
        <f>"A-32/2015"</f>
        <v>A-32/2015</v>
      </c>
      <c r="B2588" s="1" t="s">
        <v>11</v>
      </c>
      <c r="C2588" s="1" t="s">
        <v>1342</v>
      </c>
      <c r="D2588" s="1" t="str">
        <f>"501-2013-EMV"</f>
        <v>501-2013-EMV</v>
      </c>
      <c r="E2588" s="2"/>
      <c r="F2588" s="1" t="str">
        <f>"0,00"</f>
        <v>0,00</v>
      </c>
      <c r="G2588" s="1" t="str">
        <f>CONCATENATE("25.03.2015.",CHAR(10),"01.04.2015")</f>
        <v>25.03.2015.
01.04.2015</v>
      </c>
      <c r="H2588" s="1" t="str">
        <f>CONCATENATE("HEDOM D.O.O., ZAGREB")</f>
        <v>HEDOM D.O.O., ZAGREB</v>
      </c>
      <c r="I2588" s="2"/>
      <c r="J2588" s="1"/>
      <c r="K2588" s="2"/>
    </row>
    <row r="2589" spans="1:11" ht="94.5" x14ac:dyDescent="0.25">
      <c r="A2589" s="1" t="str">
        <f>"151/2015"</f>
        <v>151/2015</v>
      </c>
      <c r="B2589" s="1" t="s">
        <v>26</v>
      </c>
      <c r="C2589" s="1" t="s">
        <v>1343</v>
      </c>
      <c r="D2589" s="1" t="str">
        <f>"2340-2014-EVV"</f>
        <v>2340-2014-EVV</v>
      </c>
      <c r="E2589" s="2"/>
      <c r="F2589" s="1" t="str">
        <f>"1.949.399,10"</f>
        <v>1.949.399,10</v>
      </c>
      <c r="G2589" s="1" t="str">
        <f>CONCATENATE("25.03.2015.",CHAR(10),"12 mjeseci od dana obostranog potpisa Ugovora")</f>
        <v>25.03.2015.
12 mjeseci od dana obostranog potpisa Ugovora</v>
      </c>
      <c r="H2589" s="1" t="str">
        <f>CONCATENATE("1. Zajednica ponuditelja: ",CHAR(10),"    VINDIJA D.D., VARAŽDIN",CHAR(10),"    VINDON D.O.O., SLAVONSKI BROD",CHAR(10),"    KOKA D.D., VARAŽDIN")</f>
        <v>1. Zajednica ponuditelja: 
    VINDIJA D.D., VARAŽDIN
    VINDON D.O.O., SLAVONSKI BROD
    KOKA D.D., VARAŽDIN</v>
      </c>
      <c r="I2589" s="2"/>
      <c r="J2589" s="1"/>
      <c r="K2589" s="2"/>
    </row>
    <row r="2590" spans="1:11" ht="110.25" x14ac:dyDescent="0.25">
      <c r="A2590" s="1" t="str">
        <f>"152/2015"</f>
        <v>152/2015</v>
      </c>
      <c r="B2590" s="1" t="s">
        <v>26</v>
      </c>
      <c r="C2590" s="1" t="s">
        <v>1344</v>
      </c>
      <c r="D2590" s="1" t="str">
        <f>"2340-2014-EVV"</f>
        <v>2340-2014-EVV</v>
      </c>
      <c r="E2590" s="2"/>
      <c r="F2590" s="1" t="str">
        <f>"1.776.349,30"</f>
        <v>1.776.349,30</v>
      </c>
      <c r="G2590" s="1" t="str">
        <f>CONCATENATE("25.03.2015.",CHAR(10),"12 mjeseci od dana obostranog potpisa Ugovora")</f>
        <v>25.03.2015.
12 mjeseci od dana obostranog potpisa Ugovora</v>
      </c>
      <c r="H2590" s="1" t="str">
        <f>CONCATENATE("1. Zajednica ponuditelja: ",CHAR(10),"    VINDIJA D.D., VARAŽDIN",CHAR(10),"    KOKA D.D., VARAŽDIN",CHAR(10),"    VINDON D.O.O., SLAVONSKI BROD")</f>
        <v>1. Zajednica ponuditelja: 
    VINDIJA D.D., VARAŽDIN
    KOKA D.D., VARAŽDIN
    VINDON D.O.O., SLAVONSKI BROD</v>
      </c>
      <c r="I2590" s="2"/>
      <c r="J2590" s="1"/>
      <c r="K2590" s="2"/>
    </row>
    <row r="2591" spans="1:11" ht="78.75" x14ac:dyDescent="0.25">
      <c r="A2591" s="1" t="str">
        <f>"153/2015"</f>
        <v>153/2015</v>
      </c>
      <c r="B2591" s="1" t="s">
        <v>14</v>
      </c>
      <c r="C2591" s="1" t="s">
        <v>1345</v>
      </c>
      <c r="D2591" s="1" t="str">
        <f>CONCATENATE("896-2014-EMV",CHAR(10),"2014/S 002-0057078 od 11.12.2014.")</f>
        <v>896-2014-EMV
2014/S 002-0057078 od 11.12.2014.</v>
      </c>
      <c r="E2591" s="1" t="s">
        <v>15</v>
      </c>
      <c r="F2591" s="1" t="str">
        <f>"75.000,00"</f>
        <v>75.000,00</v>
      </c>
      <c r="G2591" s="1" t="str">
        <f>CONCATENATE("25.03.2015.",CHAR(10),"12 mjeseci od dana obostranog potpisa Ugovora")</f>
        <v>25.03.2015.
12 mjeseci od dana obostranog potpisa Ugovora</v>
      </c>
      <c r="H2591" s="1" t="str">
        <f>CONCATENATE("ZEM NADZOR D.O.O., ZAGREB")</f>
        <v>ZEM NADZOR D.O.O., ZAGREB</v>
      </c>
      <c r="I2591" s="2"/>
      <c r="J2591" s="1"/>
      <c r="K2591" s="2"/>
    </row>
    <row r="2592" spans="1:11" ht="94.5" x14ac:dyDescent="0.25">
      <c r="A2592" s="1" t="str">
        <f>"154/2015"</f>
        <v>154/2015</v>
      </c>
      <c r="B2592" s="1" t="s">
        <v>14</v>
      </c>
      <c r="C2592" s="1" t="s">
        <v>1346</v>
      </c>
      <c r="D2592" s="1" t="str">
        <f>CONCATENATE("3459-2014-EMV",CHAR(10),"2014/S 002-0057382 od 15.12.2014.")</f>
        <v>3459-2014-EMV
2014/S 002-0057382 od 15.12.2014.</v>
      </c>
      <c r="E2592" s="1" t="s">
        <v>15</v>
      </c>
      <c r="F2592" s="1" t="str">
        <f>"84.000,00"</f>
        <v>84.000,00</v>
      </c>
      <c r="G2592" s="1" t="str">
        <f>CONCATENATE("25.03.2015.",CHAR(10),"12 mjeseci od dana obostranog potpisa Ugovora")</f>
        <v>25.03.2015.
12 mjeseci od dana obostranog potpisa Ugovora</v>
      </c>
      <c r="H2592" s="1" t="str">
        <f>CONCATENATE("MGV D.O.O., ZAGREB")</f>
        <v>MGV D.O.O., ZAGREB</v>
      </c>
      <c r="I2592" s="2"/>
      <c r="J2592" s="1"/>
      <c r="K2592" s="2"/>
    </row>
    <row r="2593" spans="1:11" ht="47.25" x14ac:dyDescent="0.25">
      <c r="A2593" s="1" t="str">
        <f>"155/2015"</f>
        <v>155/2015</v>
      </c>
      <c r="B2593" s="1" t="s">
        <v>14</v>
      </c>
      <c r="C2593" s="1" t="s">
        <v>1347</v>
      </c>
      <c r="D2593" s="1" t="str">
        <f>CONCATENATE("3463-2014-EMV",CHAR(10),"2014/S 002-0054893 od 28.11.2014.")</f>
        <v>3463-2014-EMV
2014/S 002-0054893 od 28.11.2014.</v>
      </c>
      <c r="E2593" s="1" t="s">
        <v>15</v>
      </c>
      <c r="F2593" s="1" t="str">
        <f>"1.448.430,00"</f>
        <v>1.448.430,00</v>
      </c>
      <c r="G2593" s="1" t="str">
        <f>CONCATENATE("25.03.2015.",CHAR(10),"90 dana od dana uvođenja u posao")</f>
        <v>25.03.2015.
90 dana od dana uvođenja u posao</v>
      </c>
      <c r="H2593" s="1" t="str">
        <f>CONCATENATE("M. SOLDO D.O.O., ZAGREB")</f>
        <v>M. SOLDO D.O.O., ZAGREB</v>
      </c>
      <c r="I2593" s="2"/>
      <c r="J2593" s="1"/>
      <c r="K2593" s="2"/>
    </row>
    <row r="2594" spans="1:11" ht="47.25" x14ac:dyDescent="0.25">
      <c r="A2594" s="1" t="str">
        <f>"156/2015"</f>
        <v>156/2015</v>
      </c>
      <c r="B2594" s="1" t="s">
        <v>14</v>
      </c>
      <c r="C2594" s="1" t="s">
        <v>1348</v>
      </c>
      <c r="D2594" s="1" t="str">
        <f>CONCATENATE("471-2014-EMV",CHAR(10),"2014/S 002-0054365 od 26.11.2014.")</f>
        <v>471-2014-EMV
2014/S 002-0054365 od 26.11.2014.</v>
      </c>
      <c r="E2594" s="1" t="s">
        <v>15</v>
      </c>
      <c r="F2594" s="1" t="str">
        <f>"584.768,00"</f>
        <v>584.768,00</v>
      </c>
      <c r="G2594" s="1" t="str">
        <f>CONCATENATE("25.03.2015.",CHAR(10),"75 dana od dana uvođenja u posao")</f>
        <v>25.03.2015.
75 dana od dana uvođenja u posao</v>
      </c>
      <c r="H2594" s="1" t="str">
        <f>CONCATENATE("TERMOINŽENJERING-MONTAŽA D.D., DONJA BISTRA")</f>
        <v>TERMOINŽENJERING-MONTAŽA D.D., DONJA BISTRA</v>
      </c>
      <c r="I2594" s="2"/>
      <c r="J2594" s="1"/>
      <c r="K2594" s="2"/>
    </row>
    <row r="2595" spans="1:11" ht="63" x14ac:dyDescent="0.25">
      <c r="A2595" s="1" t="str">
        <f>"A-33/2015"</f>
        <v>A-33/2015</v>
      </c>
      <c r="B2595" s="1" t="s">
        <v>11</v>
      </c>
      <c r="C2595" s="1" t="s">
        <v>1349</v>
      </c>
      <c r="D2595" s="1" t="str">
        <f>"46-2014-EMV"</f>
        <v>46-2014-EMV</v>
      </c>
      <c r="E2595" s="2"/>
      <c r="F2595" s="1" t="str">
        <f>"13.646,88"</f>
        <v>13.646,88</v>
      </c>
      <c r="G2595" s="1" t="str">
        <f>"02.04.2015."</f>
        <v>02.04.2015.</v>
      </c>
      <c r="H2595" s="1" t="str">
        <f>CONCATENATE("URIHO - USTANOVA ZA PROFESIONALNU REHABILITACIJU I ZAPOŠLJAVANJE OSOBA S INVALIDITETOM, ZAGREB")</f>
        <v>URIHO - USTANOVA ZA PROFESIONALNU REHABILITACIJU I ZAPOŠLJAVANJE OSOBA S INVALIDITETOM, ZAGREB</v>
      </c>
      <c r="I2595" s="2"/>
      <c r="J2595" s="1"/>
      <c r="K2595" s="2"/>
    </row>
    <row r="2596" spans="1:11" ht="78.75" x14ac:dyDescent="0.25">
      <c r="A2596" s="1" t="str">
        <f>"160/2015"</f>
        <v>160/2015</v>
      </c>
      <c r="B2596" s="1" t="s">
        <v>26</v>
      </c>
      <c r="C2596" s="1" t="s">
        <v>1350</v>
      </c>
      <c r="D2596" s="1" t="str">
        <f>"3150-2014-EVV"</f>
        <v>3150-2014-EVV</v>
      </c>
      <c r="E2596" s="2"/>
      <c r="F2596" s="1" t="str">
        <f>"3.935.733,50"</f>
        <v>3.935.733,50</v>
      </c>
      <c r="G2596" s="1" t="str">
        <f>CONCATENATE("02.04.2015.",CHAR(10),"1 godina")</f>
        <v>02.04.2015.
1 godina</v>
      </c>
      <c r="H2596" s="1" t="str">
        <f>CONCATENATE("VINDIJA D.D., VARAŽDIN")</f>
        <v>VINDIJA D.D., VARAŽDIN</v>
      </c>
      <c r="I2596" s="2"/>
      <c r="J2596" s="1"/>
      <c r="K2596" s="2"/>
    </row>
    <row r="2597" spans="1:11" ht="78.75" x14ac:dyDescent="0.25">
      <c r="A2597" s="1" t="str">
        <f>"161/2015"</f>
        <v>161/2015</v>
      </c>
      <c r="B2597" s="1" t="s">
        <v>136</v>
      </c>
      <c r="C2597" s="1" t="s">
        <v>1351</v>
      </c>
      <c r="D2597" s="1" t="str">
        <f>CONCATENATE("2014-2745",CHAR(10),"2014/S 002-0059048 od 24.12.2014. i ispravak 2015/S 014-0002739 od 26.01.2015.")</f>
        <v>2014-2745
2014/S 002-0059048 od 24.12.2014. i ispravak 2015/S 014-0002739 od 26.01.2015.</v>
      </c>
      <c r="E2597" s="1" t="s">
        <v>366</v>
      </c>
      <c r="F2597" s="1" t="str">
        <f>"5.056.300,00"</f>
        <v>5.056.300,00</v>
      </c>
      <c r="G2597" s="1" t="str">
        <f>CONCATENATE("02.04.2015.",CHAR(10),"2 godine")</f>
        <v>02.04.2015.
2 godine</v>
      </c>
      <c r="H2597" s="1" t="str">
        <f>CONCATENATE("TOI TOI D.O.O., ZAGREB")</f>
        <v>TOI TOI D.O.O., ZAGREB</v>
      </c>
      <c r="I2597" s="2"/>
      <c r="J2597" s="1"/>
      <c r="K2597" s="1" t="s">
        <v>607</v>
      </c>
    </row>
    <row r="2598" spans="1:11" ht="47.25" x14ac:dyDescent="0.25">
      <c r="A2598" s="1" t="str">
        <f>"162/2015"</f>
        <v>162/2015</v>
      </c>
      <c r="B2598" s="1" t="s">
        <v>14</v>
      </c>
      <c r="C2598" s="1" t="s">
        <v>1352</v>
      </c>
      <c r="D2598" s="1" t="str">
        <f>CONCATENATE("1384-2014-EMV",CHAR(10),"2014/S 002-0056624 od 09.12.2014.")</f>
        <v>1384-2014-EMV
2014/S 002-0056624 od 09.12.2014.</v>
      </c>
      <c r="E2598" s="1" t="s">
        <v>15</v>
      </c>
      <c r="F2598" s="1" t="str">
        <f>"123.400,00"</f>
        <v>123.400,00</v>
      </c>
      <c r="G2598" s="1" t="str">
        <f>CONCATENATE("02.04.2015.",CHAR(10),"4 mjeseca od dana obostranog potpisa Ugovora")</f>
        <v>02.04.2015.
4 mjeseca od dana obostranog potpisa Ugovora</v>
      </c>
      <c r="H2598" s="1" t="str">
        <f>CONCATENATE("PROMET I PROSTOR D.O.O., ZAGREB")</f>
        <v>PROMET I PROSTOR D.O.O., ZAGREB</v>
      </c>
      <c r="I2598" s="2"/>
      <c r="J2598" s="1"/>
      <c r="K2598" s="2"/>
    </row>
    <row r="2599" spans="1:11" ht="63" x14ac:dyDescent="0.25">
      <c r="A2599" s="1" t="str">
        <f>"163/2015"</f>
        <v>163/2015</v>
      </c>
      <c r="B2599" s="1" t="s">
        <v>14</v>
      </c>
      <c r="C2599" s="1" t="s">
        <v>1353</v>
      </c>
      <c r="D2599" s="1" t="str">
        <f>CONCATENATE("470-2015-EMV",CHAR(10),"2015/S 002-0006224 od 16.02.2015.")</f>
        <v>470-2015-EMV
2015/S 002-0006224 od 16.02.2015.</v>
      </c>
      <c r="E2599" s="1" t="s">
        <v>15</v>
      </c>
      <c r="F2599" s="1" t="str">
        <f>"277.200,00"</f>
        <v>277.200,00</v>
      </c>
      <c r="G2599" s="1" t="str">
        <f>CONCATENATE("07.04.2015.",CHAR(10),"Dan održavanja priredbe do 10:00 sati")</f>
        <v>07.04.2015.
Dan održavanja priredbe do 10:00 sati</v>
      </c>
      <c r="H2599" s="1" t="str">
        <f>CONCATENATE("URIHO - USTANOVA ZA PROFESIONALNU REHABILITACIJU I ZAPOŠLJAVANJE OSOBA S INVALIDITETOM, ZAGREB")</f>
        <v>URIHO - USTANOVA ZA PROFESIONALNU REHABILITACIJU I ZAPOŠLJAVANJE OSOBA S INVALIDITETOM, ZAGREB</v>
      </c>
      <c r="I2599" s="2"/>
      <c r="J2599" s="1"/>
      <c r="K2599" s="2"/>
    </row>
    <row r="2600" spans="1:11" ht="173.25" x14ac:dyDescent="0.25">
      <c r="A2600" s="1" t="str">
        <f>"164/2015"</f>
        <v>164/2015</v>
      </c>
      <c r="B2600" s="1" t="s">
        <v>26</v>
      </c>
      <c r="C2600" s="1" t="s">
        <v>1354</v>
      </c>
      <c r="D2600" s="1" t="str">
        <f>"378-2012-EVV"</f>
        <v>378-2012-EVV</v>
      </c>
      <c r="E2600" s="2"/>
      <c r="F2600" s="1" t="str">
        <f>"7.563.357,56"</f>
        <v>7.563.357,56</v>
      </c>
      <c r="G2600" s="1" t="str">
        <f>CONCATENATE("08.04.2015.",CHAR(10),"12 mjeseci po potpisu Ugovora")</f>
        <v>08.04.2015.
12 mjeseci po potpisu Ugovora</v>
      </c>
      <c r="H2600" s="1" t="str">
        <f>CONCATENATE("VINDIJA D.D., VARAŽDIN")</f>
        <v>VINDIJA D.D., VARAŽDIN</v>
      </c>
      <c r="I2600" s="2"/>
      <c r="J2600" s="1"/>
      <c r="K2600" s="2"/>
    </row>
    <row r="2601" spans="1:11" ht="47.25" x14ac:dyDescent="0.25">
      <c r="A2601" s="1" t="str">
        <f>"165/2015"</f>
        <v>165/2015</v>
      </c>
      <c r="B2601" s="1" t="s">
        <v>26</v>
      </c>
      <c r="C2601" s="1" t="s">
        <v>1355</v>
      </c>
      <c r="D2601" s="1" t="str">
        <f>"488-2014-EVV"</f>
        <v>488-2014-EVV</v>
      </c>
      <c r="E2601" s="2"/>
      <c r="F2601" s="1" t="str">
        <f>"2.778.340,00"</f>
        <v>2.778.340,00</v>
      </c>
      <c r="G2601" s="1" t="str">
        <f>CONCATENATE("30.03.2015.",CHAR(10),"31.12.2015")</f>
        <v>30.03.2015.
31.12.2015</v>
      </c>
      <c r="H2601" s="1" t="str">
        <f>CONCATENATE("1. Zajednica ponuditelja: ",CHAR(10),"    EKO-DERATIZACIJA D.O.O., ZAGREB",CHAR(10),"    SANITACIJA D.O.O., ZAGREB")</f>
        <v>1. Zajednica ponuditelja: 
    EKO-DERATIZACIJA D.O.O., ZAGREB
    SANITACIJA D.O.O., ZAGREB</v>
      </c>
      <c r="I2601" s="2"/>
      <c r="J2601" s="1"/>
      <c r="K2601" s="2"/>
    </row>
    <row r="2602" spans="1:11" ht="78.75" x14ac:dyDescent="0.25">
      <c r="A2602" s="1" t="str">
        <f>"A-34/2015"</f>
        <v>A-34/2015</v>
      </c>
      <c r="B2602" s="1" t="s">
        <v>11</v>
      </c>
      <c r="C2602" s="1" t="s">
        <v>1356</v>
      </c>
      <c r="D2602" s="1" t="str">
        <f>"Z-2014-14"</f>
        <v>Z-2014-14</v>
      </c>
      <c r="E2602" s="2"/>
      <c r="F2602" s="1" t="str">
        <f>"0,00"</f>
        <v>0,00</v>
      </c>
      <c r="G2602" s="1" t="str">
        <f>CONCATENATE("08.04.2015.",CHAR(10),"15.4.2015")</f>
        <v>08.04.2015.
15.4.2015</v>
      </c>
      <c r="H2602" s="1" t="str">
        <f>CONCATENATE("1. Zajednica ponuditelja: ",CHAR(10),"    VODOPRIVREDA ZAGREB D.D., ZAGREB",CHAR(10),"    POLJO-PROM TRGOVINA I USLUGE, VL. ZLATKO KRIŽANIĆ, ZAGREB")</f>
        <v>1. Zajednica ponuditelja: 
    VODOPRIVREDA ZAGREB D.D., ZAGREB
    POLJO-PROM TRGOVINA I USLUGE, VL. ZLATKO KRIŽANIĆ, ZAGREB</v>
      </c>
      <c r="I2602" s="2"/>
      <c r="J2602" s="1"/>
      <c r="K2602" s="1" t="s">
        <v>607</v>
      </c>
    </row>
    <row r="2603" spans="1:11" ht="47.25" x14ac:dyDescent="0.25">
      <c r="A2603" s="1" t="str">
        <f>"166/2015"</f>
        <v>166/2015</v>
      </c>
      <c r="B2603" s="1" t="s">
        <v>26</v>
      </c>
      <c r="C2603" s="1" t="s">
        <v>1116</v>
      </c>
      <c r="D2603" s="1" t="str">
        <f>"Z-2014-8"</f>
        <v>Z-2014-8</v>
      </c>
      <c r="E2603" s="2"/>
      <c r="F2603" s="1" t="str">
        <f>"319.912,38"</f>
        <v>319.912,38</v>
      </c>
      <c r="G2603" s="1" t="str">
        <f>CONCATENATE("27.03.2015.",CHAR(10),"3 mjeseca od dana potpisa Ugovora")</f>
        <v>27.03.2015.
3 mjeseca od dana potpisa Ugovora</v>
      </c>
      <c r="H2603" s="1" t="str">
        <f>CONCATENATE("MEDIA POLIS D.O.O., ZAGREB")</f>
        <v>MEDIA POLIS D.O.O., ZAGREB</v>
      </c>
      <c r="I2603" s="2"/>
      <c r="J2603" s="1"/>
      <c r="K2603" s="1" t="s">
        <v>607</v>
      </c>
    </row>
    <row r="2604" spans="1:11" ht="47.25" x14ac:dyDescent="0.25">
      <c r="A2604" s="1" t="str">
        <f>"167/2015"</f>
        <v>167/2015</v>
      </c>
      <c r="B2604" s="1" t="s">
        <v>14</v>
      </c>
      <c r="C2604" s="1" t="s">
        <v>1357</v>
      </c>
      <c r="D2604" s="1" t="str">
        <f>"1145-2013-EMV"</f>
        <v>1145-2013-EMV</v>
      </c>
      <c r="E2604" s="1" t="s">
        <v>15</v>
      </c>
      <c r="F2604" s="1" t="str">
        <f>"452.147,50"</f>
        <v>452.147,50</v>
      </c>
      <c r="G2604" s="1" t="str">
        <f>CONCATENATE("08.04.2015.",CHAR(10),"10 mjeseci od dana uvođenja u posao")</f>
        <v>08.04.2015.
10 mjeseci od dana uvođenja u posao</v>
      </c>
      <c r="H2604" s="1" t="str">
        <f>CONCATENATE("TA-GRAD D.O.O., ZAGREB")</f>
        <v>TA-GRAD D.O.O., ZAGREB</v>
      </c>
      <c r="I2604" s="2"/>
      <c r="J2604" s="1"/>
      <c r="K2604" s="2"/>
    </row>
    <row r="2605" spans="1:11" ht="78.75" x14ac:dyDescent="0.25">
      <c r="A2605" s="1" t="str">
        <f>"168/2015"</f>
        <v>168/2015</v>
      </c>
      <c r="B2605" s="1" t="s">
        <v>26</v>
      </c>
      <c r="C2605" s="1" t="s">
        <v>1358</v>
      </c>
      <c r="D2605" s="1" t="str">
        <f>"Z-2014-13"</f>
        <v>Z-2014-13</v>
      </c>
      <c r="E2605" s="2"/>
      <c r="F2605" s="1" t="str">
        <f>"286.385,00"</f>
        <v>286.385,00</v>
      </c>
      <c r="G2605" s="1" t="str">
        <f>CONCATENATE("08.04.2015.",CHAR(10),"3 mjeseca od dana obostranog potpisa Ugovora")</f>
        <v>08.04.2015.
3 mjeseca od dana obostranog potpisa Ugovora</v>
      </c>
      <c r="H2605" s="1" t="str">
        <f>CONCATENATE("GLOBALDIZAJN D.O.O., ZAGREB")</f>
        <v>GLOBALDIZAJN D.O.O., ZAGREB</v>
      </c>
      <c r="I2605" s="2"/>
      <c r="J2605" s="1"/>
      <c r="K2605" s="1" t="s">
        <v>607</v>
      </c>
    </row>
    <row r="2606" spans="1:11" ht="78.75" x14ac:dyDescent="0.25">
      <c r="A2606" s="1" t="str">
        <f>"169/2015"</f>
        <v>169/2015</v>
      </c>
      <c r="B2606" s="1" t="s">
        <v>26</v>
      </c>
      <c r="C2606" s="1" t="s">
        <v>1359</v>
      </c>
      <c r="D2606" s="1" t="str">
        <f>"Z-2014-13"</f>
        <v>Z-2014-13</v>
      </c>
      <c r="E2606" s="2"/>
      <c r="F2606" s="1" t="str">
        <f>"13.975,00"</f>
        <v>13.975,00</v>
      </c>
      <c r="G2606" s="1" t="str">
        <f>CONCATENATE("08.04.2015.",CHAR(10),"3 mjeseca od dana obostranog potpisa Ugovora")</f>
        <v>08.04.2015.
3 mjeseca od dana obostranog potpisa Ugovora</v>
      </c>
      <c r="H2606" s="1" t="str">
        <f>CONCATENATE("GLOBALDIZAJN D.O.O., ZAGREB")</f>
        <v>GLOBALDIZAJN D.O.O., ZAGREB</v>
      </c>
      <c r="I2606" s="2"/>
      <c r="J2606" s="1"/>
      <c r="K2606" s="1" t="s">
        <v>607</v>
      </c>
    </row>
    <row r="2607" spans="1:11" ht="126" x14ac:dyDescent="0.25">
      <c r="A2607" s="1" t="str">
        <f>"170/2015"</f>
        <v>170/2015</v>
      </c>
      <c r="B2607" s="1" t="s">
        <v>14</v>
      </c>
      <c r="C2607" s="1" t="s">
        <v>1360</v>
      </c>
      <c r="D2607" s="1" t="str">
        <f>CONCATENATE("896-2014-EMV",CHAR(10),"2014/S 002-0057078 od 11.12.2014.")</f>
        <v>896-2014-EMV
2014/S 002-0057078 od 11.12.2014.</v>
      </c>
      <c r="E2607" s="1" t="s">
        <v>15</v>
      </c>
      <c r="F2607" s="1" t="str">
        <f>"348.000,00"</f>
        <v>348.000,00</v>
      </c>
      <c r="G2607" s="1" t="str">
        <f>CONCATENATE("08.04.2015.",CHAR(10),"12 mjeseci od dana obostranog potpisa Ugovora")</f>
        <v>08.04.2015.
12 mjeseci od dana obostranog potpisa Ugovora</v>
      </c>
      <c r="H2607" s="1" t="str">
        <f>CONCATENATE("JURCON PROJEKT D.O.O., ZAGREB")</f>
        <v>JURCON PROJEKT D.O.O., ZAGREB</v>
      </c>
      <c r="I2607" s="2"/>
      <c r="J2607" s="1"/>
      <c r="K2607" s="2"/>
    </row>
    <row r="2608" spans="1:11" ht="47.25" x14ac:dyDescent="0.25">
      <c r="A2608" s="1" t="str">
        <f>"171/2015"</f>
        <v>171/2015</v>
      </c>
      <c r="B2608" s="1" t="s">
        <v>136</v>
      </c>
      <c r="C2608" s="1" t="s">
        <v>1361</v>
      </c>
      <c r="D2608" s="1" t="str">
        <f>CONCATENATE("2014-2543",CHAR(10),"2014/S 002-0060681 od 02.01.2015.")</f>
        <v>2014-2543
2014/S 002-0060681 od 02.01.2015.</v>
      </c>
      <c r="E2608" s="1" t="s">
        <v>366</v>
      </c>
      <c r="F2608" s="1" t="str">
        <f>"181.288.250,00"</f>
        <v>181.288.250,00</v>
      </c>
      <c r="G2608" s="1" t="str">
        <f>CONCATENATE("08.04.2015.",CHAR(10),"2 godine")</f>
        <v>08.04.2015.
2 godine</v>
      </c>
      <c r="H2608" s="1" t="str">
        <f>CONCATENATE("MBM D.O.O., LUČKO")</f>
        <v>MBM D.O.O., LUČKO</v>
      </c>
      <c r="I2608" s="2"/>
      <c r="J2608" s="1"/>
      <c r="K2608" s="1" t="s">
        <v>607</v>
      </c>
    </row>
    <row r="2609" spans="1:11" ht="47.25" x14ac:dyDescent="0.25">
      <c r="A2609" s="1" t="str">
        <f>"172/2015"</f>
        <v>172/2015</v>
      </c>
      <c r="B2609" s="1" t="s">
        <v>14</v>
      </c>
      <c r="C2609" s="1" t="s">
        <v>1362</v>
      </c>
      <c r="D2609" s="1" t="str">
        <f>CONCATENATE("2531-2014-EMV",CHAR(10),"2014/S 002-0060052 od 31.12.2014.")</f>
        <v>2531-2014-EMV
2014/S 002-0060052 od 31.12.2014.</v>
      </c>
      <c r="E2609" s="1" t="s">
        <v>15</v>
      </c>
      <c r="F2609" s="1" t="str">
        <f>"799.000,00"</f>
        <v>799.000,00</v>
      </c>
      <c r="G2609" s="1" t="str">
        <f>CONCATENATE("08.04.2015.",CHAR(10),"12 mjeseci od dana obostranog potpisa Ugovora")</f>
        <v>08.04.2015.
12 mjeseci od dana obostranog potpisa Ugovora</v>
      </c>
      <c r="H2609" s="1" t="str">
        <f>CONCATENATE("SVEUČILIŠTE U ZAGREBU - GEODETSKI FAKULTET, ZAGREB")</f>
        <v>SVEUČILIŠTE U ZAGREBU - GEODETSKI FAKULTET, ZAGREB</v>
      </c>
      <c r="I2609" s="2"/>
      <c r="J2609" s="1"/>
      <c r="K2609" s="2"/>
    </row>
    <row r="2610" spans="1:11" ht="47.25" x14ac:dyDescent="0.25">
      <c r="A2610" s="1" t="str">
        <f>"173/2015"</f>
        <v>173/2015</v>
      </c>
      <c r="B2610" s="1" t="s">
        <v>14</v>
      </c>
      <c r="C2610" s="1" t="s">
        <v>1363</v>
      </c>
      <c r="D2610" s="1" t="str">
        <f>CONCATENATE("1247-2014-EMV",CHAR(10),"2014/S 002-0015359 od 26.03.2014.")</f>
        <v>1247-2014-EMV
2014/S 002-0015359 od 26.03.2014.</v>
      </c>
      <c r="E2610" s="1" t="s">
        <v>15</v>
      </c>
      <c r="F2610" s="1" t="str">
        <f>"729.707,50"</f>
        <v>729.707,50</v>
      </c>
      <c r="G2610" s="1" t="str">
        <f>CONCATENATE("08.04.2015.",CHAR(10),"6 mjeseci od dana uvođenja u posao")</f>
        <v>08.04.2015.
6 mjeseci od dana uvođenja u posao</v>
      </c>
      <c r="H2610" s="1" t="str">
        <f>CONCATENATE("1. Zajednica ponuditelja: ",CHAR(10),"    TA-GRAD D.O.O., ZAGREB",CHAR(10),"    TERRACOTTA D.O.O., ZAGREB")</f>
        <v>1. Zajednica ponuditelja: 
    TA-GRAD D.O.O., ZAGREB
    TERRACOTTA D.O.O., ZAGREB</v>
      </c>
      <c r="I2610" s="2"/>
      <c r="J2610" s="1"/>
      <c r="K2610" s="2"/>
    </row>
    <row r="2611" spans="1:11" ht="47.25" x14ac:dyDescent="0.25">
      <c r="A2611" s="1" t="str">
        <f>"174/2015"</f>
        <v>174/2015</v>
      </c>
      <c r="B2611" s="1" t="s">
        <v>136</v>
      </c>
      <c r="C2611" s="1" t="s">
        <v>1364</v>
      </c>
      <c r="D2611" s="1" t="str">
        <f>CONCATENATE("2014-2682",CHAR(10),"2014/S 002-0060419 od 31.12.2014.")</f>
        <v>2014-2682
2014/S 002-0060419 od 31.12.2014.</v>
      </c>
      <c r="E2611" s="1" t="s">
        <v>366</v>
      </c>
      <c r="F2611" s="1" t="str">
        <f>"5.415.860,00"</f>
        <v>5.415.860,00</v>
      </c>
      <c r="G2611" s="1" t="str">
        <f>CONCATENATE("08.04.2015.",CHAR(10),"2 godine")</f>
        <v>08.04.2015.
2 godine</v>
      </c>
      <c r="H2611" s="1" t="str">
        <f>CONCATENATE("MBM D.O.O., LUČKO")</f>
        <v>MBM D.O.O., LUČKO</v>
      </c>
      <c r="I2611" s="2"/>
      <c r="J2611" s="1"/>
      <c r="K2611" s="1" t="s">
        <v>607</v>
      </c>
    </row>
    <row r="2612" spans="1:11" ht="94.5" x14ac:dyDescent="0.25">
      <c r="A2612" s="1" t="str">
        <f>"A-35/2015"</f>
        <v>A-35/2015</v>
      </c>
      <c r="B2612" s="1" t="s">
        <v>11</v>
      </c>
      <c r="C2612" s="1" t="s">
        <v>1365</v>
      </c>
      <c r="D2612" s="1" t="str">
        <f>"246-2014-EVV"</f>
        <v>246-2014-EVV</v>
      </c>
      <c r="E2612" s="2"/>
      <c r="F2612" s="1" t="str">
        <f>"0,00"</f>
        <v>0,00</v>
      </c>
      <c r="G2612" s="1" t="str">
        <f>CONCATENATE("08.04.2015.",CHAR(10),"16.9.2015")</f>
        <v>08.04.2015.
16.9.2015</v>
      </c>
      <c r="H2612" s="1" t="str">
        <f>CONCATENATE("IN2 D.O.O., ZAGREB")</f>
        <v>IN2 D.O.O., ZAGREB</v>
      </c>
      <c r="I2612" s="2"/>
      <c r="J2612" s="1"/>
      <c r="K2612" s="2"/>
    </row>
    <row r="2613" spans="1:11" ht="94.5" x14ac:dyDescent="0.25">
      <c r="A2613" s="1" t="str">
        <f>"176/2015"</f>
        <v>176/2015</v>
      </c>
      <c r="B2613" s="1" t="s">
        <v>136</v>
      </c>
      <c r="C2613" s="1" t="s">
        <v>1366</v>
      </c>
      <c r="D2613" s="1" t="str">
        <f>CONCATENATE("2014-2758",CHAR(10),"2014/S 002-0060193 od 31.12.2014.")</f>
        <v>2014-2758
2014/S 002-0060193 od 31.12.2014.</v>
      </c>
      <c r="E2613" s="1" t="s">
        <v>366</v>
      </c>
      <c r="F2613" s="1" t="str">
        <f>"4.107.644,50"</f>
        <v>4.107.644,50</v>
      </c>
      <c r="G2613" s="1" t="str">
        <f>CONCATENATE("08.04.2015.",CHAR(10),"2 godine")</f>
        <v>08.04.2015.
2 godine</v>
      </c>
      <c r="H2613" s="1" t="str">
        <f>CONCATENATE("MBM D.O.O., LUČKO")</f>
        <v>MBM D.O.O., LUČKO</v>
      </c>
      <c r="I2613" s="2"/>
      <c r="J2613" s="1"/>
      <c r="K2613" s="1" t="s">
        <v>607</v>
      </c>
    </row>
    <row r="2614" spans="1:11" ht="63" x14ac:dyDescent="0.25">
      <c r="A2614" s="1" t="str">
        <f>"A-36/2015"</f>
        <v>A-36/2015</v>
      </c>
      <c r="B2614" s="1" t="s">
        <v>11</v>
      </c>
      <c r="C2614" s="1" t="s">
        <v>1367</v>
      </c>
      <c r="D2614" s="1" t="str">
        <f>"208-2013-EMV"</f>
        <v>208-2013-EMV</v>
      </c>
      <c r="E2614" s="2"/>
      <c r="F2614" s="1" t="str">
        <f>"0,00"</f>
        <v>0,00</v>
      </c>
      <c r="G2614" s="1" t="str">
        <f>CONCATENATE("09.04.2015.",CHAR(10),"Do konačne financijske realizacije, a najakasnije do 31.08.2015")</f>
        <v>09.04.2015.
Do konačne financijske realizacije, a najakasnije do 31.08.2015</v>
      </c>
      <c r="H2614" s="1" t="str">
        <f>CONCATENATE("GRADITELJ SVRATIŠTA D.O.O., ZAGREB")</f>
        <v>GRADITELJ SVRATIŠTA D.O.O., ZAGREB</v>
      </c>
      <c r="I2614" s="2"/>
      <c r="J2614" s="1"/>
      <c r="K2614" s="2"/>
    </row>
    <row r="2615" spans="1:11" ht="78.75" x14ac:dyDescent="0.25">
      <c r="A2615" s="1" t="str">
        <f>"A-37/2015"</f>
        <v>A-37/2015</v>
      </c>
      <c r="B2615" s="1" t="s">
        <v>11</v>
      </c>
      <c r="C2615" s="1" t="s">
        <v>1368</v>
      </c>
      <c r="D2615" s="1" t="str">
        <f>"1379-2014-EMV"</f>
        <v>1379-2014-EMV</v>
      </c>
      <c r="E2615" s="2"/>
      <c r="F2615" s="1" t="str">
        <f>"541.410,00"</f>
        <v>541.410,00</v>
      </c>
      <c r="G2615" s="1" t="str">
        <f>"09.04.2015."</f>
        <v>09.04.2015.</v>
      </c>
      <c r="H2615" s="1" t="str">
        <f>CONCATENATE("PISMORAD D.D., ZAGREB")</f>
        <v>PISMORAD D.D., ZAGREB</v>
      </c>
      <c r="I2615" s="2"/>
      <c r="J2615" s="1"/>
      <c r="K2615" s="2"/>
    </row>
    <row r="2616" spans="1:11" ht="47.25" x14ac:dyDescent="0.25">
      <c r="A2616" s="1" t="str">
        <f>"177/2015"</f>
        <v>177/2015</v>
      </c>
      <c r="B2616" s="1" t="s">
        <v>14</v>
      </c>
      <c r="C2616" s="1" t="s">
        <v>1369</v>
      </c>
      <c r="D2616" s="1" t="str">
        <f>CONCATENATE("2329-2014-EMV",CHAR(10),"2014/S 002-0057080 od 11.12.2014.")</f>
        <v>2329-2014-EMV
2014/S 002-0057080 od 11.12.2014.</v>
      </c>
      <c r="E2616" s="1" t="s">
        <v>15</v>
      </c>
      <c r="F2616" s="1" t="str">
        <f>"226.300,00"</f>
        <v>226.300,00</v>
      </c>
      <c r="G2616" s="1" t="str">
        <f>CONCATENATE("10.04.2015.",CHAR(10),"90 dana od dana obostranog potpisa Ugovora")</f>
        <v>10.04.2015.
90 dana od dana obostranog potpisa Ugovora</v>
      </c>
      <c r="H2616" s="1" t="str">
        <f>CONCATENATE("STUDIO G DVA D.O.O., ZAGREB")</f>
        <v>STUDIO G DVA D.O.O., ZAGREB</v>
      </c>
      <c r="I2616" s="2"/>
      <c r="J2616" s="1"/>
      <c r="K2616" s="2"/>
    </row>
    <row r="2617" spans="1:11" ht="31.5" x14ac:dyDescent="0.25">
      <c r="A2617" s="1" t="str">
        <f>"A-38/2015"</f>
        <v>A-38/2015</v>
      </c>
      <c r="B2617" s="1" t="s">
        <v>11</v>
      </c>
      <c r="C2617" s="1" t="s">
        <v>1370</v>
      </c>
      <c r="D2617" s="1" t="str">
        <f>"469-2014-EMV"</f>
        <v>469-2014-EMV</v>
      </c>
      <c r="E2617" s="2"/>
      <c r="F2617" s="1" t="str">
        <f>"0,00"</f>
        <v>0,00</v>
      </c>
      <c r="G2617" s="1" t="str">
        <f>CONCATENATE("30.03.2015.",CHAR(10),"04.04.2015")</f>
        <v>30.03.2015.
04.04.2015</v>
      </c>
      <c r="H2617" s="1" t="str">
        <f>CONCATENATE("O.K.I. MONT D.O.O., ZAGREB")</f>
        <v>O.K.I. MONT D.O.O., ZAGREB</v>
      </c>
      <c r="I2617" s="2"/>
      <c r="J2617" s="1"/>
      <c r="K2617" s="2"/>
    </row>
    <row r="2618" spans="1:11" ht="47.25" x14ac:dyDescent="0.25">
      <c r="A2618" s="1" t="str">
        <f>"178/2015"</f>
        <v>178/2015</v>
      </c>
      <c r="B2618" s="1" t="s">
        <v>136</v>
      </c>
      <c r="C2618" s="1" t="s">
        <v>1371</v>
      </c>
      <c r="D2618" s="1" t="str">
        <f>CONCATENATE("2014-2469",CHAR(10),"2014/S 002-0060663 od 02.01.2015.")</f>
        <v>2014-2469
2014/S 002-0060663 od 02.01.2015.</v>
      </c>
      <c r="E2618" s="1" t="s">
        <v>366</v>
      </c>
      <c r="F2618" s="1" t="str">
        <f>"2.360.000,00"</f>
        <v>2.360.000,00</v>
      </c>
      <c r="G2618" s="1" t="str">
        <f>CONCATENATE("13.04.2015.",CHAR(10),"2 godine")</f>
        <v>13.04.2015.
2 godine</v>
      </c>
      <c r="H2618" s="1" t="str">
        <f>CONCATENATE("AGS HRVATSKA D.O.O., ZAGREB")</f>
        <v>AGS HRVATSKA D.O.O., ZAGREB</v>
      </c>
      <c r="I2618" s="2"/>
      <c r="J2618" s="1"/>
      <c r="K2618" s="1" t="s">
        <v>607</v>
      </c>
    </row>
    <row r="2619" spans="1:11" ht="47.25" x14ac:dyDescent="0.25">
      <c r="A2619" s="1" t="str">
        <f>"179/2015"</f>
        <v>179/2015</v>
      </c>
      <c r="B2619" s="1" t="s">
        <v>26</v>
      </c>
      <c r="C2619" s="1" t="s">
        <v>1372</v>
      </c>
      <c r="D2619" s="1" t="str">
        <f>"2895-2013-EVV"</f>
        <v>2895-2013-EVV</v>
      </c>
      <c r="E2619" s="2"/>
      <c r="F2619" s="1" t="str">
        <f>"479.700,00"</f>
        <v>479.700,00</v>
      </c>
      <c r="G2619" s="1" t="str">
        <f>CONCATENATE("13.04.2015.",CHAR(10),"21.05.2015")</f>
        <v>13.04.2015.
21.05.2015</v>
      </c>
      <c r="H2619" s="1" t="str">
        <f>CONCATENATE("OMEGA SOFTWARE D.O.O., ZAGREB-SLOBOŠTINA")</f>
        <v>OMEGA SOFTWARE D.O.O., ZAGREB-SLOBOŠTINA</v>
      </c>
      <c r="I2619" s="2"/>
      <c r="J2619" s="1"/>
      <c r="K2619" s="2"/>
    </row>
    <row r="2620" spans="1:11" ht="47.25" x14ac:dyDescent="0.25">
      <c r="A2620" s="1" t="str">
        <f>"A-39/2015"</f>
        <v>A-39/2015</v>
      </c>
      <c r="B2620" s="1" t="s">
        <v>11</v>
      </c>
      <c r="C2620" s="1" t="s">
        <v>1373</v>
      </c>
      <c r="D2620" s="1" t="str">
        <f>"1941-2013-EMV"</f>
        <v>1941-2013-EMV</v>
      </c>
      <c r="E2620" s="2"/>
      <c r="F2620" s="1" t="str">
        <f>"0,00"</f>
        <v>0,00</v>
      </c>
      <c r="G2620" s="1" t="str">
        <f>CONCATENATE("01.04.2015.",CHAR(10),"16.07.2015")</f>
        <v>01.04.2015.
16.07.2015</v>
      </c>
      <c r="H2620" s="1" t="str">
        <f>CONCATENATE("CONNECTO PROJEKT D.O.O., VARAŽDIN")</f>
        <v>CONNECTO PROJEKT D.O.O., VARAŽDIN</v>
      </c>
      <c r="I2620" s="2"/>
      <c r="J2620" s="1"/>
      <c r="K2620" s="2"/>
    </row>
    <row r="2621" spans="1:11" ht="78.75" x14ac:dyDescent="0.25">
      <c r="A2621" s="1" t="str">
        <f>"180/2015"</f>
        <v>180/2015</v>
      </c>
      <c r="B2621" s="1" t="s">
        <v>14</v>
      </c>
      <c r="C2621" s="1" t="s">
        <v>1374</v>
      </c>
      <c r="D2621" s="1" t="str">
        <f>CONCATENATE("2813-2014-EMV",CHAR(10),"2014/S 002-0058917 od 23.12.2014 i ispravak 2015/S 014-0001030 od 14.01.2015.")</f>
        <v>2813-2014-EMV
2014/S 002-0058917 od 23.12.2014 i ispravak 2015/S 014-0001030 od 14.01.2015.</v>
      </c>
      <c r="E2621" s="1" t="s">
        <v>15</v>
      </c>
      <c r="F2621" s="1" t="str">
        <f>"822.715,00"</f>
        <v>822.715,00</v>
      </c>
      <c r="G2621" s="1" t="str">
        <f>CONCATENATE("16.04.2015.",CHAR(10),"90 dana od dana uvođenja u posao")</f>
        <v>16.04.2015.
90 dana od dana uvođenja u posao</v>
      </c>
      <c r="H2621" s="1" t="str">
        <f>CONCATENATE("GRADIMONT D.O.O., ZAGREB")</f>
        <v>GRADIMONT D.O.O., ZAGREB</v>
      </c>
      <c r="I2621" s="2"/>
      <c r="J2621" s="1"/>
      <c r="K2621" s="2"/>
    </row>
    <row r="2622" spans="1:11" ht="78.75" x14ac:dyDescent="0.25">
      <c r="A2622" s="1" t="str">
        <f>"181/2015"</f>
        <v>181/2015</v>
      </c>
      <c r="B2622" s="1" t="s">
        <v>136</v>
      </c>
      <c r="C2622" s="1" t="s">
        <v>1375</v>
      </c>
      <c r="D2622" s="1" t="str">
        <f>CONCATENATE("2014-2747",CHAR(10),"2014/S 002-0059556 od 29.12.2014 i ispravak 2015/S 014-0002694 od 26.01.2015.")</f>
        <v>2014-2747
2014/S 002-0059556 od 29.12.2014 i ispravak 2015/S 014-0002694 od 26.01.2015.</v>
      </c>
      <c r="E2622" s="1" t="s">
        <v>366</v>
      </c>
      <c r="F2622" s="1" t="str">
        <f>"19.172.040,00"</f>
        <v>19.172.040,00</v>
      </c>
      <c r="G2622" s="1" t="str">
        <f>CONCATENATE("16.04.2015.",CHAR(10),"2 godine")</f>
        <v>16.04.2015.
2 godine</v>
      </c>
      <c r="H2622" s="1" t="str">
        <f>CONCATENATE("1. TEHNOKOM D.O.O., ZAGREB",CHAR(10),"2. Zajednica ponuditelja: ",CHAR(10),"    HIDROCOM D.O.O., PITOMAČA",CHAR(10),"    FDS-TRGOVINA D.O.O., ZAGREB",CHAR(10),"3. VODOSKOK D.D., ZAGREB")</f>
        <v>1. TEHNOKOM D.O.O., ZAGREB
2. Zajednica ponuditelja: 
    HIDROCOM D.O.O., PITOMAČA
    FDS-TRGOVINA D.O.O., ZAGREB
3. VODOSKOK D.D., ZAGREB</v>
      </c>
      <c r="I2622" s="2"/>
      <c r="J2622" s="1"/>
      <c r="K2622" s="1" t="s">
        <v>607</v>
      </c>
    </row>
    <row r="2623" spans="1:11" ht="47.25" x14ac:dyDescent="0.25">
      <c r="A2623" s="1" t="str">
        <f>"182/2015"</f>
        <v>182/2015</v>
      </c>
      <c r="B2623" s="1" t="s">
        <v>26</v>
      </c>
      <c r="C2623" s="1" t="s">
        <v>1376</v>
      </c>
      <c r="D2623" s="1" t="str">
        <f>"189-2013-EMV"</f>
        <v>189-2013-EMV</v>
      </c>
      <c r="E2623" s="2"/>
      <c r="F2623" s="1" t="str">
        <f>"320.000,00"</f>
        <v>320.000,00</v>
      </c>
      <c r="G2623" s="1" t="str">
        <f>CONCATENATE("10.04.2015.",CHAR(10),"12 mjeseci od dana obostranog potpisa Ugovora")</f>
        <v>10.04.2015.
12 mjeseci od dana obostranog potpisa Ugovora</v>
      </c>
      <c r="H2623" s="1" t="str">
        <f>CONCATENATE("GRADITELJ SVRATIŠTA D.O.O., ZAGREB")</f>
        <v>GRADITELJ SVRATIŠTA D.O.O., ZAGREB</v>
      </c>
      <c r="I2623" s="2"/>
      <c r="J2623" s="1"/>
      <c r="K2623" s="2"/>
    </row>
    <row r="2624" spans="1:11" ht="110.25" x14ac:dyDescent="0.25">
      <c r="A2624" s="1" t="str">
        <f>"183/2015"</f>
        <v>183/2015</v>
      </c>
      <c r="B2624" s="1" t="s">
        <v>136</v>
      </c>
      <c r="C2624" s="1" t="s">
        <v>1377</v>
      </c>
      <c r="D2624" s="1" t="str">
        <f>CONCATENATE("2014-2783",CHAR(10),"2014/S 002-0060461 od 31.12.2014, ispravak 2015/S 014-0001808 od 20.01.2015 i ispravak br 2015/S 014-0002743 od 26.01.2015.")</f>
        <v>2014-2783
2014/S 002-0060461 od 31.12.2014, ispravak 2015/S 014-0001808 od 20.01.2015 i ispravak br 2015/S 014-0002743 od 26.01.2015.</v>
      </c>
      <c r="E2624" s="1" t="s">
        <v>366</v>
      </c>
      <c r="F2624" s="1" t="str">
        <f>"1.572.333,00"</f>
        <v>1.572.333,00</v>
      </c>
      <c r="G2624" s="1" t="str">
        <f>CONCATENATE("16.04.2015.",CHAR(10),"2 godine")</f>
        <v>16.04.2015.
2 godine</v>
      </c>
      <c r="H2624" s="1" t="str">
        <f>CONCATENATE("AUTO HRVATSKA PRODAJNO SERVISNI CENTRI D.O.O., HRVATSKI LESKOVAC",CHAR(10),"DETA PRUT D.O.O., ZAGREB")</f>
        <v>AUTO HRVATSKA PRODAJNO SERVISNI CENTRI D.O.O., HRVATSKI LESKOVAC
DETA PRUT D.O.O., ZAGREB</v>
      </c>
      <c r="I2624" s="2"/>
      <c r="J2624" s="1"/>
      <c r="K2624" s="1" t="s">
        <v>607</v>
      </c>
    </row>
    <row r="2625" spans="1:11" ht="47.25" x14ac:dyDescent="0.25">
      <c r="A2625" s="1" t="str">
        <f>"184/2015"</f>
        <v>184/2015</v>
      </c>
      <c r="B2625" s="1" t="s">
        <v>14</v>
      </c>
      <c r="C2625" s="1" t="s">
        <v>1378</v>
      </c>
      <c r="D2625" s="1" t="str">
        <f>CONCATENATE("3510-2014-EMV",CHAR(10),"2014/S 002-0056668 od 09.12.2014.")</f>
        <v>3510-2014-EMV
2014/S 002-0056668 od 09.12.2014.</v>
      </c>
      <c r="E2625" s="1" t="s">
        <v>15</v>
      </c>
      <c r="F2625" s="1" t="str">
        <f>"487.836,90"</f>
        <v>487.836,90</v>
      </c>
      <c r="G2625" s="1" t="str">
        <f>CONCATENATE("16.04.2015.",CHAR(10),"30 dana od dana uvođenja u posao")</f>
        <v>16.04.2015.
30 dana od dana uvođenja u posao</v>
      </c>
      <c r="H2625" s="1" t="str">
        <f>CONCATENATE("PUTAK GRADNJA D.O.O., ZAGREB")</f>
        <v>PUTAK GRADNJA D.O.O., ZAGREB</v>
      </c>
      <c r="I2625" s="2"/>
      <c r="J2625" s="1"/>
      <c r="K2625" s="2"/>
    </row>
    <row r="2626" spans="1:11" ht="47.25" x14ac:dyDescent="0.25">
      <c r="A2626" s="1" t="str">
        <f>"185/2015"</f>
        <v>185/2015</v>
      </c>
      <c r="B2626" s="1" t="s">
        <v>26</v>
      </c>
      <c r="C2626" s="1" t="s">
        <v>1379</v>
      </c>
      <c r="D2626" s="1" t="str">
        <f>"193-2013-EMV"</f>
        <v>193-2013-EMV</v>
      </c>
      <c r="E2626" s="2"/>
      <c r="F2626" s="1" t="str">
        <f>"220.000,00"</f>
        <v>220.000,00</v>
      </c>
      <c r="G2626" s="1" t="str">
        <f>CONCATENATE("26.03.2015.",CHAR(10),"12 mjeseci od dana obostranog potpisa Ugovora")</f>
        <v>26.03.2015.
12 mjeseci od dana obostranog potpisa Ugovora</v>
      </c>
      <c r="H2626" s="1" t="str">
        <f>CONCATENATE("ENEL ATM D.O.O., ZAGREB")</f>
        <v>ENEL ATM D.O.O., ZAGREB</v>
      </c>
      <c r="I2626" s="2"/>
      <c r="J2626" s="1"/>
      <c r="K2626" s="2"/>
    </row>
    <row r="2627" spans="1:11" ht="47.25" x14ac:dyDescent="0.25">
      <c r="A2627" s="1" t="str">
        <f>"186/2015"</f>
        <v>186/2015</v>
      </c>
      <c r="B2627" s="1" t="s">
        <v>26</v>
      </c>
      <c r="C2627" s="1" t="s">
        <v>1380</v>
      </c>
      <c r="D2627" s="1" t="str">
        <f>"189-2013-EMV"</f>
        <v>189-2013-EMV</v>
      </c>
      <c r="E2627" s="2"/>
      <c r="F2627" s="1" t="str">
        <f>"700.000,00"</f>
        <v>700.000,00</v>
      </c>
      <c r="G2627" s="1" t="str">
        <f>CONCATENATE("10.04.2015.",CHAR(10),"12 mjeseci od dana obostranog potpisa Ugovora")</f>
        <v>10.04.2015.
12 mjeseci od dana obostranog potpisa Ugovora</v>
      </c>
      <c r="H2627" s="1" t="str">
        <f>CONCATENATE("GRADITELJ SVRATIŠTA D.O.O., ZAGREB")</f>
        <v>GRADITELJ SVRATIŠTA D.O.O., ZAGREB</v>
      </c>
      <c r="I2627" s="2"/>
      <c r="J2627" s="1"/>
      <c r="K2627" s="2"/>
    </row>
    <row r="2628" spans="1:11" ht="47.25" x14ac:dyDescent="0.25">
      <c r="A2628" s="1" t="str">
        <f>"A-40/2015"</f>
        <v>A-40/2015</v>
      </c>
      <c r="B2628" s="1" t="s">
        <v>11</v>
      </c>
      <c r="C2628" s="1" t="s">
        <v>1381</v>
      </c>
      <c r="D2628" s="1" t="str">
        <f>"2208-2013-EMV"</f>
        <v>2208-2013-EMV</v>
      </c>
      <c r="E2628" s="2"/>
      <c r="F2628" s="1" t="str">
        <f>"0,00"</f>
        <v>0,00</v>
      </c>
      <c r="G2628" s="1" t="str">
        <f>CONCATENATE("16.04.2015.",CHAR(10),"01.07.2015")</f>
        <v>16.04.2015.
01.07.2015</v>
      </c>
      <c r="H2628" s="1" t="str">
        <f>CONCATENATE("1. Zajednica ponuditelja: ",CHAR(10),"    WERKOS D.O.O., OSIJEK",CHAR(10),"    GEODATA PROJEKT D.O.O., ZAGREB")</f>
        <v>1. Zajednica ponuditelja: 
    WERKOS D.O.O., OSIJEK
    GEODATA PROJEKT D.O.O., ZAGREB</v>
      </c>
      <c r="I2628" s="2"/>
      <c r="J2628" s="1"/>
      <c r="K2628" s="2"/>
    </row>
    <row r="2629" spans="1:11" ht="47.25" x14ac:dyDescent="0.25">
      <c r="A2629" s="1" t="str">
        <f>"188/2015"</f>
        <v>188/2015</v>
      </c>
      <c r="B2629" s="1" t="s">
        <v>14</v>
      </c>
      <c r="C2629" s="1" t="s">
        <v>1382</v>
      </c>
      <c r="D2629" s="1" t="str">
        <f>CONCATENATE("629-2014-EMV",CHAR(10),"2014/S 002-0043719 od 18.09.2014.")</f>
        <v>629-2014-EMV
2014/S 002-0043719 od 18.09.2014.</v>
      </c>
      <c r="E2629" s="1" t="s">
        <v>15</v>
      </c>
      <c r="F2629" s="1" t="str">
        <f>"2.833.735,91"</f>
        <v>2.833.735,91</v>
      </c>
      <c r="G2629" s="1" t="str">
        <f>CONCATENATE("16.04.2015.",CHAR(10),"60 dana od dana uvođenja u posao")</f>
        <v>16.04.2015.
60 dana od dana uvođenja u posao</v>
      </c>
      <c r="H2629" s="1" t="str">
        <f>CONCATENATE("DALEKOVOD D.D., ZAGREB")</f>
        <v>DALEKOVOD D.D., ZAGREB</v>
      </c>
      <c r="I2629" s="2"/>
      <c r="J2629" s="1"/>
      <c r="K2629" s="2"/>
    </row>
  </sheetData>
  <autoFilter ref="A5:K2629"/>
  <mergeCells count="7">
    <mergeCell ref="J1410:J1411"/>
    <mergeCell ref="J1412:J1424"/>
    <mergeCell ref="A1:K1"/>
    <mergeCell ref="A2:K2"/>
    <mergeCell ref="J615:J629"/>
    <mergeCell ref="J600:J614"/>
    <mergeCell ref="J590:J599"/>
  </mergeCells>
  <conditionalFormatting sqref="A2630:A1048576 A1:A5">
    <cfRule type="duplicateValues" dxfId="5" priority="5"/>
    <cfRule type="duplicateValues" dxfId="4" priority="6"/>
  </conditionalFormatting>
  <conditionalFormatting sqref="A2630:A1048576 A1:A5">
    <cfRule type="duplicateValues" dxfId="3" priority="8"/>
  </conditionalFormatting>
  <conditionalFormatting sqref="A33">
    <cfRule type="duplicateValues" dxfId="2" priority="3"/>
    <cfRule type="duplicateValues" dxfId="1" priority="4"/>
  </conditionalFormatting>
  <conditionalFormatting sqref="A33">
    <cfRule type="duplicateValues" dxfId="0" priority="2"/>
  </conditionalFormatting>
  <pageMargins left="0.7" right="0.7" top="0.75" bottom="0.75" header="0.3" footer="0.3"/>
  <pageSetup paperSize="9" scale="44" fitToHeight="0" orientation="landscape" r:id="rId1"/>
  <headerFooter>
    <oddFooter>&amp;C&amp;"times,Regular"&amp;P/&amp;N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D24" sqref="D24"/>
    </sheetView>
  </sheetViews>
  <sheetFormatPr defaultRowHeight="15" x14ac:dyDescent="0.25"/>
  <sheetData>
    <row r="1" spans="1:2" x14ac:dyDescent="0.25">
      <c r="A1" t="s">
        <v>2905</v>
      </c>
      <c r="B1" t="s">
        <v>2906</v>
      </c>
    </row>
    <row r="2" spans="1:2" x14ac:dyDescent="0.25">
      <c r="A2" t="s">
        <v>2907</v>
      </c>
      <c r="B2" t="s">
        <v>2908</v>
      </c>
    </row>
    <row r="4" spans="1:2" x14ac:dyDescent="0.25">
      <c r="A4" t="s">
        <v>2909</v>
      </c>
      <c r="B4" t="s">
        <v>2910</v>
      </c>
    </row>
    <row r="7" spans="1:2" x14ac:dyDescent="0.25">
      <c r="A7" t="s">
        <v>2911</v>
      </c>
      <c r="B7" t="s">
        <v>2906</v>
      </c>
    </row>
    <row r="8" spans="1:2" x14ac:dyDescent="0.25">
      <c r="A8" t="s">
        <v>2912</v>
      </c>
      <c r="B8" t="s">
        <v>2906</v>
      </c>
    </row>
    <row r="9" spans="1:2" x14ac:dyDescent="0.25">
      <c r="A9" t="s">
        <v>2913</v>
      </c>
      <c r="B9" t="s">
        <v>2914</v>
      </c>
    </row>
    <row r="10" spans="1:2" x14ac:dyDescent="0.25">
      <c r="A10" t="s">
        <v>2915</v>
      </c>
      <c r="B10" t="s">
        <v>2916</v>
      </c>
    </row>
    <row r="11" spans="1:2" x14ac:dyDescent="0.25">
      <c r="A11" t="s">
        <v>2917</v>
      </c>
      <c r="B11" t="s">
        <v>2918</v>
      </c>
    </row>
    <row r="12" spans="1:2" x14ac:dyDescent="0.25">
      <c r="A12" t="s">
        <v>2919</v>
      </c>
      <c r="B12" s="13">
        <v>42676</v>
      </c>
    </row>
    <row r="13" spans="1:2" x14ac:dyDescent="0.25">
      <c r="A13" t="s">
        <v>2920</v>
      </c>
      <c r="B13" t="s">
        <v>2921</v>
      </c>
    </row>
    <row r="14" spans="1:2" x14ac:dyDescent="0.25">
      <c r="A14" t="s">
        <v>2922</v>
      </c>
      <c r="B14" t="s">
        <v>2923</v>
      </c>
    </row>
    <row r="16" spans="1:2" x14ac:dyDescent="0.25">
      <c r="A16" t="s">
        <v>2924</v>
      </c>
      <c r="B16" t="s">
        <v>2925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Registar</vt:lpstr>
      <vt:lpstr>Metadata</vt:lpstr>
      <vt:lpstr>Registar!Print_Area</vt:lpstr>
      <vt:lpstr>Registar!Print_Titles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Broj U In2</dc:title>
  <dc:creator>Pavle Stanišić</dc:creator>
  <cp:lastModifiedBy>Dubravka Mendeš Poljak</cp:lastModifiedBy>
  <cp:lastPrinted>2015-05-27T13:35:46Z</cp:lastPrinted>
  <dcterms:created xsi:type="dcterms:W3CDTF">2015-05-27T07:22:49Z</dcterms:created>
  <dcterms:modified xsi:type="dcterms:W3CDTF">2016-11-02T08:41:08Z</dcterms:modified>
</cp:coreProperties>
</file>